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HR\Intern\Lønteam\Lønsager\Ting til Inside\"/>
    </mc:Choice>
  </mc:AlternateContent>
  <xr:revisionPtr revIDLastSave="0" documentId="13_ncr:1_{30F08E30-3154-4A85-A97E-A8F701E0087F}" xr6:coauthVersionLast="47" xr6:coauthVersionMax="47" xr10:uidLastSave="{00000000-0000-0000-0000-000000000000}"/>
  <bookViews>
    <workbookView xWindow="-27600" yWindow="3060" windowWidth="25635" windowHeight="14865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10" i="1" l="1"/>
  <c r="AD11" i="1"/>
  <c r="AD13" i="1"/>
  <c r="AD15" i="1"/>
  <c r="AD17" i="1"/>
  <c r="AD18" i="1"/>
  <c r="AD19" i="1"/>
  <c r="AD20" i="1"/>
  <c r="AD21" i="1"/>
  <c r="AD25" i="1"/>
  <c r="AD26" i="1"/>
  <c r="AD27" i="1"/>
  <c r="AD28" i="1"/>
  <c r="AD29" i="1"/>
  <c r="AD30" i="1"/>
  <c r="AD32" i="1"/>
  <c r="AD33" i="1"/>
  <c r="AD35" i="1"/>
  <c r="AD36" i="1"/>
  <c r="AD37" i="1"/>
  <c r="AD39" i="1"/>
  <c r="AD41" i="1"/>
  <c r="AD42" i="1"/>
  <c r="AD44" i="1"/>
  <c r="AD46" i="1"/>
  <c r="AD48" i="1"/>
  <c r="AD51" i="1"/>
  <c r="AD52" i="1"/>
  <c r="AD53" i="1"/>
  <c r="AD54" i="1"/>
  <c r="AD56" i="1"/>
  <c r="AD57" i="1"/>
  <c r="AD58" i="1"/>
  <c r="AD60" i="1"/>
  <c r="AD61" i="1"/>
  <c r="AD62" i="1"/>
  <c r="AD65" i="1"/>
  <c r="AD66" i="1"/>
  <c r="AD67" i="1"/>
  <c r="AD68" i="1"/>
  <c r="AD69" i="1"/>
  <c r="AD70" i="1"/>
  <c r="AD71" i="1"/>
  <c r="AD72" i="1"/>
  <c r="AD76" i="1"/>
  <c r="AD77" i="1"/>
  <c r="AD78" i="1"/>
  <c r="AD79" i="1"/>
  <c r="AD80" i="1"/>
  <c r="AD83" i="1"/>
  <c r="AD85" i="1"/>
  <c r="AD86" i="1"/>
  <c r="AD87" i="1"/>
  <c r="AD9" i="1"/>
  <c r="AC10" i="1"/>
  <c r="AC11" i="1"/>
  <c r="AC13" i="1"/>
  <c r="AC15" i="1"/>
  <c r="AC17" i="1"/>
  <c r="AC18" i="1"/>
  <c r="AC19" i="1"/>
  <c r="AC20" i="1"/>
  <c r="AC21" i="1"/>
  <c r="AC25" i="1"/>
  <c r="AC26" i="1"/>
  <c r="AC27" i="1"/>
  <c r="AC28" i="1"/>
  <c r="AC29" i="1"/>
  <c r="AC30" i="1"/>
  <c r="AC32" i="1"/>
  <c r="AC33" i="1"/>
  <c r="AC35" i="1"/>
  <c r="AC36" i="1"/>
  <c r="AC37" i="1"/>
  <c r="AC39" i="1"/>
  <c r="AC41" i="1"/>
  <c r="AC42" i="1"/>
  <c r="AC44" i="1"/>
  <c r="AC46" i="1"/>
  <c r="AC48" i="1"/>
  <c r="AC51" i="1"/>
  <c r="AC52" i="1"/>
  <c r="AC53" i="1"/>
  <c r="AC54" i="1"/>
  <c r="AC56" i="1"/>
  <c r="AC57" i="1"/>
  <c r="AC58" i="1"/>
  <c r="AC60" i="1"/>
  <c r="AC61" i="1"/>
  <c r="AC62" i="1"/>
  <c r="AC65" i="1"/>
  <c r="AC66" i="1"/>
  <c r="AC67" i="1"/>
  <c r="AC68" i="1"/>
  <c r="AC69" i="1"/>
  <c r="AC70" i="1"/>
  <c r="AC71" i="1"/>
  <c r="AC72" i="1"/>
  <c r="AC76" i="1"/>
  <c r="AC77" i="1"/>
  <c r="AC78" i="1"/>
  <c r="AC79" i="1"/>
  <c r="AC80" i="1"/>
  <c r="AC83" i="1"/>
  <c r="AC85" i="1"/>
  <c r="AC86" i="1"/>
  <c r="AC87" i="1"/>
  <c r="AC9" i="1"/>
  <c r="AB65" i="1"/>
  <c r="AB54" i="1"/>
  <c r="AB30" i="1"/>
  <c r="AB25" i="1"/>
  <c r="AB17" i="1"/>
  <c r="AB21" i="1"/>
  <c r="AB19" i="1"/>
  <c r="AB18" i="1"/>
  <c r="AB15" i="1"/>
  <c r="AB13" i="1"/>
  <c r="AB10" i="1"/>
  <c r="AB9" i="1"/>
  <c r="AA85" i="1"/>
  <c r="AA83" i="1"/>
  <c r="AA79" i="1"/>
  <c r="AA70" i="1"/>
  <c r="AA69" i="1"/>
  <c r="AA67" i="1"/>
  <c r="AA60" i="1"/>
  <c r="AA58" i="1"/>
  <c r="AA56" i="1"/>
  <c r="AA54" i="1"/>
  <c r="AA36" i="1"/>
  <c r="AA30" i="1"/>
  <c r="AA25" i="1"/>
  <c r="Z87" i="1"/>
  <c r="AB87" i="1" s="1"/>
  <c r="Z86" i="1"/>
  <c r="AB86" i="1" s="1"/>
  <c r="Z85" i="1"/>
  <c r="AB85" i="1" s="1"/>
  <c r="Z83" i="1"/>
  <c r="AB83" i="1" s="1"/>
  <c r="Z80" i="1"/>
  <c r="AB80" i="1" s="1"/>
  <c r="Z79" i="1"/>
  <c r="AB79" i="1" s="1"/>
  <c r="Z78" i="1"/>
  <c r="AA78" i="1" s="1"/>
  <c r="Z77" i="1"/>
  <c r="AA77" i="1" s="1"/>
  <c r="Z72" i="1"/>
  <c r="AB72" i="1" s="1"/>
  <c r="Z71" i="1"/>
  <c r="AB71" i="1" s="1"/>
  <c r="Z70" i="1"/>
  <c r="AB70" i="1" s="1"/>
  <c r="Z69" i="1"/>
  <c r="AB69" i="1" s="1"/>
  <c r="Z68" i="1"/>
  <c r="AB68" i="1" s="1"/>
  <c r="Z67" i="1"/>
  <c r="AB67" i="1" s="1"/>
  <c r="Z66" i="1"/>
  <c r="AA66" i="1" s="1"/>
  <c r="Z65" i="1"/>
  <c r="AA65" i="1" s="1"/>
  <c r="Z62" i="1"/>
  <c r="AB62" i="1" s="1"/>
  <c r="Z61" i="1"/>
  <c r="AB61" i="1" s="1"/>
  <c r="Z60" i="1"/>
  <c r="AB60" i="1" s="1"/>
  <c r="Z58" i="1"/>
  <c r="AB58" i="1" s="1"/>
  <c r="Z57" i="1"/>
  <c r="AB57" i="1" s="1"/>
  <c r="Z56" i="1"/>
  <c r="AB56" i="1" s="1"/>
  <c r="Z53" i="1"/>
  <c r="AA53" i="1" s="1"/>
  <c r="Z52" i="1"/>
  <c r="AB52" i="1" s="1"/>
  <c r="Z51" i="1"/>
  <c r="AB51" i="1" s="1"/>
  <c r="Z48" i="1"/>
  <c r="AA48" i="1" s="1"/>
  <c r="Z46" i="1"/>
  <c r="AA46" i="1" s="1"/>
  <c r="Z44" i="1"/>
  <c r="AA44" i="1" s="1"/>
  <c r="Z42" i="1"/>
  <c r="AB42" i="1" s="1"/>
  <c r="Z41" i="1"/>
  <c r="AA41" i="1" s="1"/>
  <c r="Z39" i="1"/>
  <c r="AA39" i="1" s="1"/>
  <c r="Z37" i="1"/>
  <c r="AA37" i="1" s="1"/>
  <c r="Z36" i="1"/>
  <c r="AB36" i="1" s="1"/>
  <c r="Z35" i="1"/>
  <c r="AA35" i="1" s="1"/>
  <c r="Z33" i="1"/>
  <c r="AA33" i="1" s="1"/>
  <c r="Z32" i="1"/>
  <c r="AA32" i="1" s="1"/>
  <c r="Z26" i="1"/>
  <c r="AA26" i="1" s="1"/>
  <c r="AA15" i="1"/>
  <c r="AA13" i="1"/>
  <c r="AA10" i="1"/>
  <c r="AA9" i="1"/>
  <c r="Z11" i="1"/>
  <c r="AA11" i="1" s="1"/>
  <c r="AA19" i="1"/>
  <c r="AA21" i="1"/>
  <c r="AA18" i="1"/>
  <c r="Z20" i="1"/>
  <c r="AB20" i="1" s="1"/>
  <c r="AA17" i="1"/>
  <c r="AA76" i="1"/>
  <c r="Y9" i="1"/>
  <c r="Y10" i="1"/>
  <c r="Y13" i="1"/>
  <c r="Y15" i="1"/>
  <c r="Y17" i="1"/>
  <c r="Y18" i="1"/>
  <c r="Y19" i="1"/>
  <c r="Y20" i="1"/>
  <c r="Y21" i="1"/>
  <c r="Y25" i="1"/>
  <c r="Y30" i="1"/>
  <c r="Y54" i="1"/>
  <c r="Y76" i="1"/>
  <c r="X10" i="1"/>
  <c r="X13" i="1"/>
  <c r="X15" i="1"/>
  <c r="X17" i="1"/>
  <c r="X18" i="1"/>
  <c r="X19" i="1"/>
  <c r="X20" i="1"/>
  <c r="X21" i="1"/>
  <c r="X25" i="1"/>
  <c r="X30" i="1"/>
  <c r="X54" i="1"/>
  <c r="X76" i="1"/>
  <c r="X9" i="1"/>
  <c r="W9" i="1"/>
  <c r="W10" i="1"/>
  <c r="W13" i="1"/>
  <c r="W15" i="1"/>
  <c r="W17" i="1"/>
  <c r="W18" i="1"/>
  <c r="W19" i="1"/>
  <c r="W20" i="1"/>
  <c r="W21" i="1"/>
  <c r="W25" i="1"/>
  <c r="W30" i="1"/>
  <c r="W54" i="1"/>
  <c r="W76" i="1"/>
  <c r="V9" i="1"/>
  <c r="AB77" i="1" l="1"/>
  <c r="AA57" i="1"/>
  <c r="AA68" i="1"/>
  <c r="AA80" i="1"/>
  <c r="AB26" i="1"/>
  <c r="AB41" i="1"/>
  <c r="AB66" i="1"/>
  <c r="AB78" i="1"/>
  <c r="AA20" i="1"/>
  <c r="AA42" i="1"/>
  <c r="AA51" i="1"/>
  <c r="AA61" i="1"/>
  <c r="AA71" i="1"/>
  <c r="AA86" i="1"/>
  <c r="AB33" i="1"/>
  <c r="AB46" i="1"/>
  <c r="AB53" i="1"/>
  <c r="AA52" i="1"/>
  <c r="AA62" i="1"/>
  <c r="AA72" i="1"/>
  <c r="AA87" i="1"/>
  <c r="AB35" i="1"/>
  <c r="AB48" i="1"/>
  <c r="AB39" i="1"/>
  <c r="AB32" i="1"/>
  <c r="AB44" i="1"/>
  <c r="AB11" i="1"/>
  <c r="AB37" i="1"/>
  <c r="V27" i="1"/>
  <c r="V28" i="1"/>
  <c r="V30" i="1"/>
  <c r="V31" i="1"/>
  <c r="V34" i="1"/>
  <c r="V38" i="1"/>
  <c r="V40" i="1"/>
  <c r="V43" i="1"/>
  <c r="V45" i="1"/>
  <c r="V47" i="1"/>
  <c r="V49" i="1"/>
  <c r="V50" i="1"/>
  <c r="V54" i="1"/>
  <c r="V55" i="1"/>
  <c r="V59" i="1"/>
  <c r="V63" i="1"/>
  <c r="V64" i="1"/>
  <c r="V73" i="1"/>
  <c r="V74" i="1"/>
  <c r="V75" i="1"/>
  <c r="V76" i="1"/>
  <c r="V81" i="1"/>
  <c r="V82" i="1"/>
  <c r="V84" i="1"/>
  <c r="V22" i="1"/>
  <c r="V23" i="1"/>
  <c r="V24" i="1"/>
  <c r="V25" i="1"/>
  <c r="V10" i="1"/>
  <c r="V12" i="1"/>
  <c r="V13" i="1"/>
  <c r="V14" i="1"/>
  <c r="V15" i="1"/>
  <c r="V16" i="1"/>
  <c r="V17" i="1"/>
  <c r="V18" i="1"/>
  <c r="V19" i="1"/>
  <c r="V20" i="1"/>
  <c r="V21" i="1"/>
  <c r="U10" i="1" l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7" i="1"/>
  <c r="U28" i="1"/>
  <c r="U30" i="1"/>
  <c r="U31" i="1"/>
  <c r="U34" i="1"/>
  <c r="U38" i="1"/>
  <c r="U40" i="1"/>
  <c r="U43" i="1"/>
  <c r="U45" i="1"/>
  <c r="U47" i="1"/>
  <c r="U49" i="1"/>
  <c r="U50" i="1"/>
  <c r="U54" i="1"/>
  <c r="U55" i="1"/>
  <c r="U59" i="1"/>
  <c r="U63" i="1"/>
  <c r="U64" i="1"/>
  <c r="U73" i="1"/>
  <c r="U74" i="1"/>
  <c r="U75" i="1"/>
  <c r="U76" i="1"/>
  <c r="U81" i="1"/>
  <c r="U82" i="1"/>
  <c r="U84" i="1"/>
  <c r="U9" i="1"/>
  <c r="T10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7" i="1"/>
  <c r="T28" i="1"/>
  <c r="T30" i="1"/>
  <c r="T31" i="1"/>
  <c r="T34" i="1"/>
  <c r="T38" i="1"/>
  <c r="T40" i="1"/>
  <c r="T43" i="1"/>
  <c r="T45" i="1"/>
  <c r="T47" i="1"/>
  <c r="T49" i="1"/>
  <c r="T50" i="1"/>
  <c r="T54" i="1"/>
  <c r="T55" i="1"/>
  <c r="T59" i="1"/>
  <c r="T63" i="1"/>
  <c r="T64" i="1"/>
  <c r="T73" i="1"/>
  <c r="T74" i="1"/>
  <c r="T75" i="1"/>
  <c r="T76" i="1"/>
  <c r="T81" i="1"/>
  <c r="T82" i="1"/>
  <c r="T84" i="1"/>
  <c r="T9" i="1"/>
  <c r="S22" i="1"/>
  <c r="S23" i="1"/>
  <c r="S24" i="1"/>
  <c r="S25" i="1"/>
  <c r="S27" i="1"/>
  <c r="S28" i="1"/>
  <c r="S30" i="1"/>
  <c r="S31" i="1"/>
  <c r="S34" i="1"/>
  <c r="S38" i="1"/>
  <c r="S40" i="1"/>
  <c r="S43" i="1"/>
  <c r="S45" i="1"/>
  <c r="S47" i="1"/>
  <c r="S49" i="1"/>
  <c r="S50" i="1"/>
  <c r="S54" i="1"/>
  <c r="S55" i="1"/>
  <c r="S59" i="1"/>
  <c r="S63" i="1"/>
  <c r="S64" i="1"/>
  <c r="S73" i="1"/>
  <c r="S74" i="1"/>
  <c r="S75" i="1"/>
  <c r="S76" i="1"/>
  <c r="S81" i="1"/>
  <c r="S82" i="1"/>
  <c r="S84" i="1"/>
  <c r="S10" i="1"/>
  <c r="S12" i="1"/>
  <c r="S13" i="1"/>
  <c r="S14" i="1"/>
  <c r="S15" i="1"/>
  <c r="S16" i="1"/>
  <c r="S17" i="1"/>
  <c r="S18" i="1"/>
  <c r="S19" i="1"/>
  <c r="S20" i="1"/>
  <c r="S21" i="1"/>
  <c r="S9" i="1"/>
  <c r="R10" i="1" l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7" i="1"/>
  <c r="R28" i="1"/>
  <c r="R30" i="1"/>
  <c r="R31" i="1"/>
  <c r="R34" i="1"/>
  <c r="R38" i="1"/>
  <c r="R40" i="1"/>
  <c r="R43" i="1"/>
  <c r="R45" i="1"/>
  <c r="R47" i="1"/>
  <c r="R49" i="1"/>
  <c r="R50" i="1"/>
  <c r="R54" i="1"/>
  <c r="R55" i="1"/>
  <c r="R59" i="1"/>
  <c r="R63" i="1"/>
  <c r="R64" i="1"/>
  <c r="R73" i="1"/>
  <c r="R74" i="1"/>
  <c r="R75" i="1"/>
  <c r="R76" i="1"/>
  <c r="R81" i="1"/>
  <c r="R82" i="1"/>
  <c r="R84" i="1"/>
  <c r="R9" i="1"/>
  <c r="Q84" i="1" l="1"/>
  <c r="Q81" i="1"/>
  <c r="Q82" i="1"/>
  <c r="Q73" i="1"/>
  <c r="Q74" i="1"/>
  <c r="Q75" i="1"/>
  <c r="Q76" i="1"/>
  <c r="Q47" i="1"/>
  <c r="Q49" i="1"/>
  <c r="Q50" i="1"/>
  <c r="Q54" i="1"/>
  <c r="Q55" i="1"/>
  <c r="Q59" i="1"/>
  <c r="Q63" i="1"/>
  <c r="Q64" i="1"/>
  <c r="Q43" i="1"/>
  <c r="Q45" i="1"/>
  <c r="Q38" i="1"/>
  <c r="Q40" i="1"/>
  <c r="Q34" i="1"/>
  <c r="Q27" i="1"/>
  <c r="Q28" i="1"/>
  <c r="Q30" i="1"/>
  <c r="Q31" i="1"/>
  <c r="Q20" i="1"/>
  <c r="Q21" i="1"/>
  <c r="Q22" i="1"/>
  <c r="Q23" i="1"/>
  <c r="Q24" i="1"/>
  <c r="Q25" i="1"/>
  <c r="Q16" i="1"/>
  <c r="Q17" i="1"/>
  <c r="Q18" i="1"/>
  <c r="Q19" i="1"/>
  <c r="Q12" i="1"/>
  <c r="Q13" i="1"/>
  <c r="Q14" i="1"/>
  <c r="Q15" i="1"/>
  <c r="Q10" i="1"/>
  <c r="Q9" i="1"/>
  <c r="P12" i="1" l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7" i="1"/>
  <c r="P28" i="1"/>
  <c r="P30" i="1"/>
  <c r="P31" i="1"/>
  <c r="P34" i="1"/>
  <c r="P38" i="1"/>
  <c r="P40" i="1"/>
  <c r="P43" i="1"/>
  <c r="P45" i="1"/>
  <c r="P47" i="1"/>
  <c r="P49" i="1"/>
  <c r="P50" i="1"/>
  <c r="P54" i="1"/>
  <c r="P55" i="1"/>
  <c r="P59" i="1"/>
  <c r="P63" i="1"/>
  <c r="P64" i="1"/>
  <c r="P73" i="1"/>
  <c r="P74" i="1"/>
  <c r="P75" i="1"/>
  <c r="P76" i="1"/>
  <c r="P81" i="1"/>
  <c r="P82" i="1"/>
  <c r="P84" i="1"/>
  <c r="P10" i="1"/>
  <c r="P9" i="1"/>
  <c r="O10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7" i="1"/>
  <c r="O28" i="1"/>
  <c r="O30" i="1"/>
  <c r="O31" i="1"/>
  <c r="O34" i="1"/>
  <c r="O38" i="1"/>
  <c r="O40" i="1"/>
  <c r="O43" i="1"/>
  <c r="O45" i="1"/>
  <c r="O47" i="1"/>
  <c r="O49" i="1"/>
  <c r="O50" i="1"/>
  <c r="O54" i="1"/>
  <c r="O55" i="1"/>
  <c r="O59" i="1"/>
  <c r="O63" i="1"/>
  <c r="O64" i="1"/>
  <c r="O73" i="1"/>
  <c r="O74" i="1"/>
  <c r="O75" i="1"/>
  <c r="O76" i="1"/>
  <c r="O81" i="1"/>
  <c r="O82" i="1"/>
  <c r="O84" i="1"/>
  <c r="O9" i="1"/>
  <c r="N12" i="1" l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7" i="1"/>
  <c r="N28" i="1"/>
  <c r="N30" i="1"/>
  <c r="N31" i="1"/>
  <c r="N34" i="1"/>
  <c r="N38" i="1"/>
  <c r="N40" i="1"/>
  <c r="N43" i="1"/>
  <c r="N45" i="1"/>
  <c r="N47" i="1"/>
  <c r="N49" i="1"/>
  <c r="N50" i="1"/>
  <c r="N54" i="1"/>
  <c r="N55" i="1"/>
  <c r="N59" i="1"/>
  <c r="N63" i="1"/>
  <c r="N64" i="1"/>
  <c r="N73" i="1"/>
  <c r="N74" i="1"/>
  <c r="N75" i="1"/>
  <c r="N76" i="1"/>
  <c r="N81" i="1"/>
  <c r="N82" i="1"/>
  <c r="N84" i="1"/>
  <c r="N10" i="1"/>
  <c r="N9" i="1"/>
  <c r="M15" i="1" l="1"/>
  <c r="M13" i="1"/>
  <c r="M10" i="1"/>
  <c r="M9" i="1"/>
  <c r="M76" i="1"/>
  <c r="M54" i="1"/>
  <c r="M30" i="1"/>
  <c r="M25" i="1"/>
  <c r="M21" i="1"/>
  <c r="M20" i="1"/>
  <c r="M19" i="1"/>
  <c r="M18" i="1"/>
  <c r="H60" i="1" l="1"/>
  <c r="H61" i="1"/>
  <c r="H62" i="1"/>
  <c r="L54" i="1"/>
  <c r="H58" i="1"/>
  <c r="H57" i="1"/>
  <c r="L57" i="1" s="1"/>
  <c r="H56" i="1"/>
  <c r="H85" i="1"/>
  <c r="H86" i="1"/>
  <c r="H87" i="1"/>
  <c r="X56" i="1" l="1"/>
  <c r="W56" i="1"/>
  <c r="Y56" i="1"/>
  <c r="V56" i="1"/>
  <c r="T56" i="1"/>
  <c r="U56" i="1"/>
  <c r="S56" i="1"/>
  <c r="X57" i="1"/>
  <c r="W57" i="1"/>
  <c r="Y57" i="1"/>
  <c r="V57" i="1"/>
  <c r="T57" i="1"/>
  <c r="U57" i="1"/>
  <c r="S57" i="1"/>
  <c r="X58" i="1"/>
  <c r="W58" i="1"/>
  <c r="Y58" i="1"/>
  <c r="V58" i="1"/>
  <c r="U58" i="1"/>
  <c r="T58" i="1"/>
  <c r="S58" i="1"/>
  <c r="W87" i="1"/>
  <c r="X87" i="1"/>
  <c r="Y87" i="1"/>
  <c r="V87" i="1"/>
  <c r="U87" i="1"/>
  <c r="S87" i="1"/>
  <c r="T87" i="1"/>
  <c r="W62" i="1"/>
  <c r="Y62" i="1"/>
  <c r="X62" i="1"/>
  <c r="V62" i="1"/>
  <c r="U62" i="1"/>
  <c r="S62" i="1"/>
  <c r="T62" i="1"/>
  <c r="W86" i="1"/>
  <c r="Y86" i="1"/>
  <c r="X86" i="1"/>
  <c r="V86" i="1"/>
  <c r="U86" i="1"/>
  <c r="S86" i="1"/>
  <c r="T86" i="1"/>
  <c r="Y61" i="1"/>
  <c r="X61" i="1"/>
  <c r="W61" i="1"/>
  <c r="V61" i="1"/>
  <c r="T61" i="1"/>
  <c r="S61" i="1"/>
  <c r="U61" i="1"/>
  <c r="Y85" i="1"/>
  <c r="X85" i="1"/>
  <c r="W85" i="1"/>
  <c r="V85" i="1"/>
  <c r="T85" i="1"/>
  <c r="U85" i="1"/>
  <c r="S85" i="1"/>
  <c r="Y60" i="1"/>
  <c r="X60" i="1"/>
  <c r="W60" i="1"/>
  <c r="V60" i="1"/>
  <c r="U60" i="1"/>
  <c r="T60" i="1"/>
  <c r="S60" i="1"/>
  <c r="L86" i="1"/>
  <c r="R86" i="1"/>
  <c r="Q86" i="1"/>
  <c r="P86" i="1"/>
  <c r="O86" i="1"/>
  <c r="N86" i="1"/>
  <c r="M86" i="1"/>
  <c r="L58" i="1"/>
  <c r="R58" i="1"/>
  <c r="Q58" i="1"/>
  <c r="P58" i="1"/>
  <c r="O58" i="1"/>
  <c r="N58" i="1"/>
  <c r="M58" i="1"/>
  <c r="L61" i="1"/>
  <c r="R61" i="1"/>
  <c r="Q61" i="1"/>
  <c r="P61" i="1"/>
  <c r="O61" i="1"/>
  <c r="N61" i="1"/>
  <c r="M61" i="1"/>
  <c r="L85" i="1"/>
  <c r="R85" i="1"/>
  <c r="Q85" i="1"/>
  <c r="P85" i="1"/>
  <c r="O85" i="1"/>
  <c r="N85" i="1"/>
  <c r="M85" i="1"/>
  <c r="K60" i="1"/>
  <c r="R60" i="1"/>
  <c r="Q60" i="1"/>
  <c r="P60" i="1"/>
  <c r="O60" i="1"/>
  <c r="N60" i="1"/>
  <c r="M60" i="1"/>
  <c r="K56" i="1"/>
  <c r="R56" i="1"/>
  <c r="Q56" i="1"/>
  <c r="P56" i="1"/>
  <c r="O56" i="1"/>
  <c r="N56" i="1"/>
  <c r="M56" i="1"/>
  <c r="K58" i="1"/>
  <c r="L87" i="1"/>
  <c r="R87" i="1"/>
  <c r="Q87" i="1"/>
  <c r="P87" i="1"/>
  <c r="O87" i="1"/>
  <c r="N87" i="1"/>
  <c r="M87" i="1"/>
  <c r="K57" i="1"/>
  <c r="R57" i="1"/>
  <c r="Q57" i="1"/>
  <c r="P57" i="1"/>
  <c r="O57" i="1"/>
  <c r="N57" i="1"/>
  <c r="M57" i="1"/>
  <c r="L62" i="1"/>
  <c r="R62" i="1"/>
  <c r="Q62" i="1"/>
  <c r="P62" i="1"/>
  <c r="O62" i="1"/>
  <c r="N62" i="1"/>
  <c r="M62" i="1"/>
  <c r="L60" i="1"/>
  <c r="K87" i="1"/>
  <c r="K85" i="1"/>
  <c r="L56" i="1"/>
  <c r="K62" i="1"/>
  <c r="K61" i="1"/>
  <c r="K86" i="1"/>
  <c r="L10" i="1" l="1"/>
  <c r="L13" i="1"/>
  <c r="L15" i="1"/>
  <c r="L18" i="1"/>
  <c r="L19" i="1"/>
  <c r="L20" i="1"/>
  <c r="L21" i="1"/>
  <c r="L25" i="1"/>
  <c r="L30" i="1"/>
  <c r="L76" i="1"/>
  <c r="L9" i="1"/>
  <c r="K10" i="1" l="1"/>
  <c r="K9" i="1"/>
  <c r="H80" i="1" l="1"/>
  <c r="H79" i="1"/>
  <c r="H77" i="1"/>
  <c r="H78" i="1"/>
  <c r="H83" i="1"/>
  <c r="X80" i="1" l="1"/>
  <c r="Y80" i="1"/>
  <c r="W80" i="1"/>
  <c r="V80" i="1"/>
  <c r="T80" i="1"/>
  <c r="U80" i="1"/>
  <c r="S80" i="1"/>
  <c r="Y83" i="1"/>
  <c r="X83" i="1"/>
  <c r="W83" i="1"/>
  <c r="V83" i="1"/>
  <c r="U83" i="1"/>
  <c r="S83" i="1"/>
  <c r="T83" i="1"/>
  <c r="W77" i="1"/>
  <c r="Y77" i="1"/>
  <c r="X77" i="1"/>
  <c r="V77" i="1"/>
  <c r="T77" i="1"/>
  <c r="U77" i="1"/>
  <c r="S77" i="1"/>
  <c r="X79" i="1"/>
  <c r="W79" i="1"/>
  <c r="Y79" i="1"/>
  <c r="V79" i="1"/>
  <c r="U79" i="1"/>
  <c r="S79" i="1"/>
  <c r="T79" i="1"/>
  <c r="Y78" i="1"/>
  <c r="W78" i="1"/>
  <c r="X78" i="1"/>
  <c r="V78" i="1"/>
  <c r="T78" i="1"/>
  <c r="U78" i="1"/>
  <c r="S78" i="1"/>
  <c r="L78" i="1"/>
  <c r="R78" i="1"/>
  <c r="Q78" i="1"/>
  <c r="P78" i="1"/>
  <c r="O78" i="1"/>
  <c r="N78" i="1"/>
  <c r="M78" i="1"/>
  <c r="L77" i="1"/>
  <c r="R77" i="1"/>
  <c r="Q77" i="1"/>
  <c r="P77" i="1"/>
  <c r="O77" i="1"/>
  <c r="N77" i="1"/>
  <c r="M77" i="1"/>
  <c r="L79" i="1"/>
  <c r="R79" i="1"/>
  <c r="Q79" i="1"/>
  <c r="P79" i="1"/>
  <c r="O79" i="1"/>
  <c r="N79" i="1"/>
  <c r="M79" i="1"/>
  <c r="L83" i="1"/>
  <c r="R83" i="1"/>
  <c r="Q83" i="1"/>
  <c r="P83" i="1"/>
  <c r="O83" i="1"/>
  <c r="N83" i="1"/>
  <c r="M83" i="1"/>
  <c r="L80" i="1"/>
  <c r="R80" i="1"/>
  <c r="Q80" i="1"/>
  <c r="P80" i="1"/>
  <c r="O80" i="1"/>
  <c r="N80" i="1"/>
  <c r="M80" i="1"/>
  <c r="H53" i="1"/>
  <c r="H52" i="1"/>
  <c r="H51" i="1"/>
  <c r="H42" i="1"/>
  <c r="H41" i="1"/>
  <c r="H39" i="1"/>
  <c r="H37" i="1"/>
  <c r="H36" i="1"/>
  <c r="H35" i="1"/>
  <c r="H33" i="1"/>
  <c r="H32" i="1"/>
  <c r="H26" i="1"/>
  <c r="H11" i="1"/>
  <c r="W39" i="1" l="1"/>
  <c r="X39" i="1"/>
  <c r="Y39" i="1"/>
  <c r="V39" i="1"/>
  <c r="U39" i="1"/>
  <c r="S39" i="1"/>
  <c r="T39" i="1"/>
  <c r="X11" i="1"/>
  <c r="W11" i="1"/>
  <c r="Y11" i="1"/>
  <c r="V11" i="1"/>
  <c r="U11" i="1"/>
  <c r="S11" i="1"/>
  <c r="T11" i="1"/>
  <c r="W26" i="1"/>
  <c r="Y26" i="1"/>
  <c r="X26" i="1"/>
  <c r="V26" i="1"/>
  <c r="U26" i="1"/>
  <c r="S26" i="1"/>
  <c r="T26" i="1"/>
  <c r="Y42" i="1"/>
  <c r="W42" i="1"/>
  <c r="X42" i="1"/>
  <c r="V42" i="1"/>
  <c r="S42" i="1"/>
  <c r="U42" i="1"/>
  <c r="T42" i="1"/>
  <c r="Y36" i="1"/>
  <c r="W36" i="1"/>
  <c r="X36" i="1"/>
  <c r="V36" i="1"/>
  <c r="U36" i="1"/>
  <c r="T36" i="1"/>
  <c r="S36" i="1"/>
  <c r="W37" i="1"/>
  <c r="Y37" i="1"/>
  <c r="X37" i="1"/>
  <c r="V37" i="1"/>
  <c r="T37" i="1"/>
  <c r="S37" i="1"/>
  <c r="U37" i="1"/>
  <c r="W41" i="1"/>
  <c r="Y41" i="1"/>
  <c r="X41" i="1"/>
  <c r="V41" i="1"/>
  <c r="T41" i="1"/>
  <c r="U41" i="1"/>
  <c r="S41" i="1"/>
  <c r="Y51" i="1"/>
  <c r="W51" i="1"/>
  <c r="X51" i="1"/>
  <c r="V51" i="1"/>
  <c r="U51" i="1"/>
  <c r="S51" i="1"/>
  <c r="T51" i="1"/>
  <c r="X33" i="1"/>
  <c r="W33" i="1"/>
  <c r="Y33" i="1"/>
  <c r="V33" i="1"/>
  <c r="T33" i="1"/>
  <c r="U33" i="1"/>
  <c r="S33" i="1"/>
  <c r="W52" i="1"/>
  <c r="Y52" i="1"/>
  <c r="X52" i="1"/>
  <c r="V52" i="1"/>
  <c r="U52" i="1"/>
  <c r="S52" i="1"/>
  <c r="T52" i="1"/>
  <c r="X32" i="1"/>
  <c r="W32" i="1"/>
  <c r="Y32" i="1"/>
  <c r="V32" i="1"/>
  <c r="T32" i="1"/>
  <c r="S32" i="1"/>
  <c r="U32" i="1"/>
  <c r="Y35" i="1"/>
  <c r="X35" i="1"/>
  <c r="W35" i="1"/>
  <c r="V35" i="1"/>
  <c r="U35" i="1"/>
  <c r="S35" i="1"/>
  <c r="T35" i="1"/>
  <c r="W53" i="1"/>
  <c r="Y53" i="1"/>
  <c r="X53" i="1"/>
  <c r="V53" i="1"/>
  <c r="T53" i="1"/>
  <c r="U53" i="1"/>
  <c r="S53" i="1"/>
  <c r="L35" i="1"/>
  <c r="R35" i="1"/>
  <c r="Q35" i="1"/>
  <c r="P35" i="1"/>
  <c r="O35" i="1"/>
  <c r="N35" i="1"/>
  <c r="M35" i="1"/>
  <c r="L53" i="1"/>
  <c r="R53" i="1"/>
  <c r="Q53" i="1"/>
  <c r="P53" i="1"/>
  <c r="O53" i="1"/>
  <c r="N53" i="1"/>
  <c r="M53" i="1"/>
  <c r="L42" i="1"/>
  <c r="R42" i="1"/>
  <c r="Q42" i="1"/>
  <c r="P42" i="1"/>
  <c r="O42" i="1"/>
  <c r="N42" i="1"/>
  <c r="M42" i="1"/>
  <c r="R11" i="1"/>
  <c r="Q11" i="1"/>
  <c r="P11" i="1"/>
  <c r="O11" i="1"/>
  <c r="N11" i="1"/>
  <c r="M11" i="1"/>
  <c r="L41" i="1"/>
  <c r="R41" i="1"/>
  <c r="Q41" i="1"/>
  <c r="P41" i="1"/>
  <c r="O41" i="1"/>
  <c r="N41" i="1"/>
  <c r="M41" i="1"/>
  <c r="L26" i="1"/>
  <c r="R26" i="1"/>
  <c r="Q26" i="1"/>
  <c r="P26" i="1"/>
  <c r="O26" i="1"/>
  <c r="N26" i="1"/>
  <c r="M26" i="1"/>
  <c r="L36" i="1"/>
  <c r="R36" i="1"/>
  <c r="Q36" i="1"/>
  <c r="P36" i="1"/>
  <c r="O36" i="1"/>
  <c r="N36" i="1"/>
  <c r="M36" i="1"/>
  <c r="L32" i="1"/>
  <c r="R32" i="1"/>
  <c r="Q32" i="1"/>
  <c r="P32" i="1"/>
  <c r="O32" i="1"/>
  <c r="N32" i="1"/>
  <c r="M32" i="1"/>
  <c r="L37" i="1"/>
  <c r="R37" i="1"/>
  <c r="Q37" i="1"/>
  <c r="P37" i="1"/>
  <c r="O37" i="1"/>
  <c r="N37" i="1"/>
  <c r="M37" i="1"/>
  <c r="L51" i="1"/>
  <c r="R51" i="1"/>
  <c r="Q51" i="1"/>
  <c r="P51" i="1"/>
  <c r="O51" i="1"/>
  <c r="N51" i="1"/>
  <c r="M51" i="1"/>
  <c r="L33" i="1"/>
  <c r="R33" i="1"/>
  <c r="Q33" i="1"/>
  <c r="P33" i="1"/>
  <c r="O33" i="1"/>
  <c r="N33" i="1"/>
  <c r="M33" i="1"/>
  <c r="L39" i="1"/>
  <c r="R39" i="1"/>
  <c r="Q39" i="1"/>
  <c r="P39" i="1"/>
  <c r="O39" i="1"/>
  <c r="N39" i="1"/>
  <c r="M39" i="1"/>
  <c r="L52" i="1"/>
  <c r="R52" i="1"/>
  <c r="Q52" i="1"/>
  <c r="P52" i="1"/>
  <c r="O52" i="1"/>
  <c r="N52" i="1"/>
  <c r="M52" i="1"/>
  <c r="L11" i="1"/>
  <c r="K11" i="1"/>
  <c r="F51" i="1"/>
  <c r="E51" i="1"/>
  <c r="D51" i="1"/>
  <c r="H70" i="1"/>
  <c r="H69" i="1"/>
  <c r="H68" i="1"/>
  <c r="H67" i="1"/>
  <c r="H66" i="1"/>
  <c r="H72" i="1"/>
  <c r="H71" i="1"/>
  <c r="H65" i="1"/>
  <c r="Y70" i="1" l="1"/>
  <c r="X70" i="1"/>
  <c r="W70" i="1"/>
  <c r="V70" i="1"/>
  <c r="U70" i="1"/>
  <c r="S70" i="1"/>
  <c r="T70" i="1"/>
  <c r="W65" i="1"/>
  <c r="Y65" i="1"/>
  <c r="X65" i="1"/>
  <c r="V65" i="1"/>
  <c r="T65" i="1"/>
  <c r="U65" i="1"/>
  <c r="S65" i="1"/>
  <c r="W69" i="1"/>
  <c r="X69" i="1"/>
  <c r="Y69" i="1"/>
  <c r="V69" i="1"/>
  <c r="T69" i="1"/>
  <c r="S69" i="1"/>
  <c r="U69" i="1"/>
  <c r="Y71" i="1"/>
  <c r="X71" i="1"/>
  <c r="W71" i="1"/>
  <c r="V71" i="1"/>
  <c r="T71" i="1"/>
  <c r="U71" i="1"/>
  <c r="S71" i="1"/>
  <c r="W72" i="1"/>
  <c r="Y72" i="1"/>
  <c r="X72" i="1"/>
  <c r="V72" i="1"/>
  <c r="T72" i="1"/>
  <c r="S72" i="1"/>
  <c r="U72" i="1"/>
  <c r="W66" i="1"/>
  <c r="Y66" i="1"/>
  <c r="X66" i="1"/>
  <c r="V66" i="1"/>
  <c r="T66" i="1"/>
  <c r="U66" i="1"/>
  <c r="S66" i="1"/>
  <c r="Y67" i="1"/>
  <c r="X67" i="1"/>
  <c r="W67" i="1"/>
  <c r="V67" i="1"/>
  <c r="U67" i="1"/>
  <c r="S67" i="1"/>
  <c r="T67" i="1"/>
  <c r="X68" i="1"/>
  <c r="W68" i="1"/>
  <c r="Y68" i="1"/>
  <c r="V68" i="1"/>
  <c r="U68" i="1"/>
  <c r="T68" i="1"/>
  <c r="S68" i="1"/>
  <c r="L66" i="1"/>
  <c r="R66" i="1"/>
  <c r="Q66" i="1"/>
  <c r="P66" i="1"/>
  <c r="O66" i="1"/>
  <c r="N66" i="1"/>
  <c r="M66" i="1"/>
  <c r="L70" i="1"/>
  <c r="R70" i="1"/>
  <c r="Q70" i="1"/>
  <c r="P70" i="1"/>
  <c r="O70" i="1"/>
  <c r="N70" i="1"/>
  <c r="M70" i="1"/>
  <c r="L65" i="1"/>
  <c r="R65" i="1"/>
  <c r="Q65" i="1"/>
  <c r="P65" i="1"/>
  <c r="O65" i="1"/>
  <c r="N65" i="1"/>
  <c r="M65" i="1"/>
  <c r="L67" i="1"/>
  <c r="R67" i="1"/>
  <c r="Q67" i="1"/>
  <c r="P67" i="1"/>
  <c r="O67" i="1"/>
  <c r="N67" i="1"/>
  <c r="M67" i="1"/>
  <c r="L71" i="1"/>
  <c r="R71" i="1"/>
  <c r="Q71" i="1"/>
  <c r="P71" i="1"/>
  <c r="O71" i="1"/>
  <c r="N71" i="1"/>
  <c r="M71" i="1"/>
  <c r="L68" i="1"/>
  <c r="R68" i="1"/>
  <c r="Q68" i="1"/>
  <c r="P68" i="1"/>
  <c r="O68" i="1"/>
  <c r="N68" i="1"/>
  <c r="M68" i="1"/>
  <c r="L72" i="1"/>
  <c r="R72" i="1"/>
  <c r="Q72" i="1"/>
  <c r="P72" i="1"/>
  <c r="O72" i="1"/>
  <c r="N72" i="1"/>
  <c r="M72" i="1"/>
  <c r="L69" i="1"/>
  <c r="R69" i="1"/>
  <c r="Q69" i="1"/>
  <c r="P69" i="1"/>
  <c r="O69" i="1"/>
  <c r="N69" i="1"/>
  <c r="M69" i="1"/>
  <c r="H48" i="1"/>
  <c r="H46" i="1"/>
  <c r="B46" i="1"/>
  <c r="F46" i="1" s="1"/>
  <c r="H44" i="1"/>
  <c r="B48" i="1"/>
  <c r="F48" i="1" s="1"/>
  <c r="B44" i="1"/>
  <c r="F44" i="1" s="1"/>
  <c r="B42" i="1"/>
  <c r="F42" i="1" s="1"/>
  <c r="B41" i="1"/>
  <c r="F41" i="1" s="1"/>
  <c r="B39" i="1"/>
  <c r="F39" i="1" s="1"/>
  <c r="B37" i="1"/>
  <c r="F37" i="1" s="1"/>
  <c r="B36" i="1"/>
  <c r="F36" i="1" s="1"/>
  <c r="B35" i="1"/>
  <c r="F35" i="1" s="1"/>
  <c r="B33" i="1"/>
  <c r="F33" i="1" s="1"/>
  <c r="F30" i="1"/>
  <c r="B32" i="1"/>
  <c r="F32" i="1" s="1"/>
  <c r="F21" i="1"/>
  <c r="F19" i="1"/>
  <c r="F9" i="1"/>
  <c r="F15" i="1"/>
  <c r="F13" i="1"/>
  <c r="F17" i="1"/>
  <c r="B26" i="1"/>
  <c r="F26" i="1" s="1"/>
  <c r="F25" i="1"/>
  <c r="B10" i="1"/>
  <c r="F10" i="1" s="1"/>
  <c r="E10" i="1"/>
  <c r="E11" i="1"/>
  <c r="E13" i="1"/>
  <c r="E14" i="1"/>
  <c r="E15" i="1"/>
  <c r="E25" i="1"/>
  <c r="E26" i="1"/>
  <c r="E17" i="1"/>
  <c r="E19" i="1"/>
  <c r="E21" i="1"/>
  <c r="E30" i="1"/>
  <c r="E32" i="1"/>
  <c r="E33" i="1"/>
  <c r="E35" i="1"/>
  <c r="E36" i="1"/>
  <c r="E37" i="1"/>
  <c r="E39" i="1"/>
  <c r="E41" i="1"/>
  <c r="E42" i="1"/>
  <c r="E44" i="1"/>
  <c r="E46" i="1"/>
  <c r="E48" i="1"/>
  <c r="E9" i="1"/>
  <c r="D9" i="1"/>
  <c r="D10" i="1"/>
  <c r="D11" i="1"/>
  <c r="D13" i="1"/>
  <c r="D14" i="1"/>
  <c r="D15" i="1"/>
  <c r="D25" i="1"/>
  <c r="D26" i="1"/>
  <c r="D17" i="1"/>
  <c r="D19" i="1"/>
  <c r="D21" i="1"/>
  <c r="D30" i="1"/>
  <c r="D32" i="1"/>
  <c r="D33" i="1"/>
  <c r="D35" i="1"/>
  <c r="D36" i="1"/>
  <c r="D37" i="1"/>
  <c r="D39" i="1"/>
  <c r="D41" i="1"/>
  <c r="D42" i="1"/>
  <c r="D44" i="1"/>
  <c r="D46" i="1"/>
  <c r="D48" i="1"/>
  <c r="X44" i="1" l="1"/>
  <c r="W44" i="1"/>
  <c r="Y44" i="1"/>
  <c r="V44" i="1"/>
  <c r="U44" i="1"/>
  <c r="S44" i="1"/>
  <c r="T44" i="1"/>
  <c r="X46" i="1"/>
  <c r="W46" i="1"/>
  <c r="Y46" i="1"/>
  <c r="V46" i="1"/>
  <c r="U46" i="1"/>
  <c r="S46" i="1"/>
  <c r="T46" i="1"/>
  <c r="Y48" i="1"/>
  <c r="X48" i="1"/>
  <c r="W48" i="1"/>
  <c r="V48" i="1"/>
  <c r="T48" i="1"/>
  <c r="S48" i="1"/>
  <c r="U48" i="1"/>
  <c r="L44" i="1"/>
  <c r="R44" i="1"/>
  <c r="Q44" i="1"/>
  <c r="P44" i="1"/>
  <c r="O44" i="1"/>
  <c r="N44" i="1"/>
  <c r="M44" i="1"/>
  <c r="L46" i="1"/>
  <c r="R46" i="1"/>
  <c r="Q46" i="1"/>
  <c r="P46" i="1"/>
  <c r="O46" i="1"/>
  <c r="N46" i="1"/>
  <c r="M46" i="1"/>
  <c r="L48" i="1"/>
  <c r="R48" i="1"/>
  <c r="Q48" i="1"/>
  <c r="P48" i="1"/>
  <c r="O48" i="1"/>
  <c r="N48" i="1"/>
  <c r="M48" i="1"/>
  <c r="B11" i="1"/>
  <c r="F11" i="1" s="1"/>
</calcChain>
</file>

<file path=xl/sharedStrings.xml><?xml version="1.0" encoding="utf-8"?>
<sst xmlns="http://schemas.openxmlformats.org/spreadsheetml/2006/main" count="80" uniqueCount="73">
  <si>
    <t>Opgavestillelse udenfor den løbende undervisning, herunder eksamens-</t>
  </si>
  <si>
    <t>opgaver - 60 minutter</t>
  </si>
  <si>
    <t>Mundtlig eksamination med max. 60 minutters forberedelse pr.</t>
  </si>
  <si>
    <t>eksaminationstime - 60 + 60 minutter</t>
  </si>
  <si>
    <t>Eksterne lektorer:</t>
  </si>
  <si>
    <t>Pr. undervisningstime - med normal forberedelse på 150 minutter</t>
  </si>
  <si>
    <t>Eksamenstilsyn</t>
  </si>
  <si>
    <t>Studenterstudievejledere</t>
  </si>
  <si>
    <t>Censorer - Cirkulære om Censorvederlag</t>
  </si>
  <si>
    <t>Basistimeløn</t>
  </si>
  <si>
    <t>Mundtlig eksamen</t>
  </si>
  <si>
    <t>Første eksamination - 100 minutter</t>
  </si>
  <si>
    <t>Efterfølgende eksaminationer - 40 minutter pr. stk.</t>
  </si>
  <si>
    <t>Skriftlig eksamen</t>
  </si>
  <si>
    <t>Første opgave - 180 minutter</t>
  </si>
  <si>
    <t>2.-20. opgave - 30 minutter pr. stk.</t>
  </si>
  <si>
    <t>21. og følgende opgaver - 10 minutter pr. stk.</t>
  </si>
  <si>
    <t>Skriftligt arbejde/rapport</t>
  </si>
  <si>
    <t>Pr. studerende - 40 minutter pr. stk.</t>
  </si>
  <si>
    <t>Eksamensprojekt, diplom</t>
  </si>
  <si>
    <t>Forprojekt, civil</t>
  </si>
  <si>
    <t>Pr. projekt - 2 timer</t>
  </si>
  <si>
    <t>Eksamensprojekt, civil</t>
  </si>
  <si>
    <t>Pr. projekt - 5 timer og 10 minutter</t>
  </si>
  <si>
    <t>Ph.d.-prøver</t>
  </si>
  <si>
    <t>Max. 16 timer pr. bedømmelse</t>
  </si>
  <si>
    <t>Timelønssatser</t>
  </si>
  <si>
    <t>Der skal tillægges feriegodtgørelse med 12,5 %.</t>
  </si>
  <si>
    <t>Undervisningsassistenter:</t>
  </si>
  <si>
    <r>
      <t xml:space="preserve">Pr. undervisningstime </t>
    </r>
    <r>
      <rPr>
        <b/>
        <sz val="10"/>
        <color indexed="8"/>
        <rFont val="Arial"/>
        <family val="2"/>
      </rPr>
      <t xml:space="preserve">uden </t>
    </r>
    <r>
      <rPr>
        <sz val="10"/>
        <color indexed="8"/>
        <rFont val="Arial"/>
        <family val="2"/>
      </rPr>
      <t>forberedelse - 45 minutter</t>
    </r>
  </si>
  <si>
    <r>
      <t xml:space="preserve">Pr. undervisningstime </t>
    </r>
    <r>
      <rPr>
        <b/>
        <sz val="10"/>
        <color indexed="8"/>
        <rFont val="Arial"/>
        <family val="2"/>
      </rPr>
      <t xml:space="preserve">med </t>
    </r>
    <r>
      <rPr>
        <sz val="10"/>
        <color indexed="8"/>
        <rFont val="Arial"/>
        <family val="2"/>
      </rPr>
      <t>forberedelse - 45 + 90 minutter</t>
    </r>
  </si>
  <si>
    <r>
      <t xml:space="preserve">Pr. modul på 4 undervisningstimer </t>
    </r>
    <r>
      <rPr>
        <b/>
        <sz val="10"/>
        <color indexed="8"/>
        <rFont val="Arial"/>
        <family val="2"/>
      </rPr>
      <t xml:space="preserve">med </t>
    </r>
    <r>
      <rPr>
        <sz val="10"/>
        <color indexed="8"/>
        <rFont val="Arial"/>
        <family val="2"/>
      </rPr>
      <t>forberedelse</t>
    </r>
  </si>
  <si>
    <t xml:space="preserve">Løn pr. arbejdstime </t>
  </si>
  <si>
    <t xml:space="preserve">Øvrige pr. time </t>
  </si>
  <si>
    <t xml:space="preserve">1 studerende - 4 timer </t>
  </si>
  <si>
    <t xml:space="preserve">2 studerende - 6 timer </t>
  </si>
  <si>
    <t>index 100</t>
  </si>
  <si>
    <t>gammel</t>
  </si>
  <si>
    <t>IT-medarbejder, basisløn, løngruppe 1</t>
  </si>
  <si>
    <t>IT-medarbejder, basisløn, løngruppe 3</t>
  </si>
  <si>
    <t>IT-medarbejder, basisløn, løngruppe 4</t>
  </si>
  <si>
    <t>IT-medarbejder, basisløn, løngruppe 2, basistrin 1</t>
  </si>
  <si>
    <t>IT-medarbejder, basisløn, løngruppe 2, basistrin 2</t>
  </si>
  <si>
    <t>IT-medarbejder, basisløn, løngruppe 2, basistrin 3</t>
  </si>
  <si>
    <t>IT-medarbejder, basisløn, løngruppe 2, basistrin 4</t>
  </si>
  <si>
    <t>IT-medarbejder, basisløn, løngruppe 2, basistrin 5</t>
  </si>
  <si>
    <t>Organisationsaftale for Kontorfunktionærer, laboranter og It-medarbejdere (HK) indgået med HK/Stat</t>
  </si>
  <si>
    <t>Studentertimesats</t>
  </si>
  <si>
    <t>Hjælpelærer</t>
  </si>
  <si>
    <t>Cirkulære om eksterne lektorer</t>
  </si>
  <si>
    <t>Undervisning - Cirkulære om studenterundervisere (SUL)</t>
  </si>
  <si>
    <t>Organisationsaftale for IT-medarbejdere (PROSA) i statens tjeneste</t>
  </si>
  <si>
    <t>Andre timelønnede</t>
  </si>
  <si>
    <t>Studentertimesats trin 8</t>
  </si>
  <si>
    <t>Studentertimesats trin 9</t>
  </si>
  <si>
    <t>Studentertimesats trin 11</t>
  </si>
  <si>
    <t>Studentertime evt. Kvalifikationstillæg</t>
  </si>
  <si>
    <t>Studentertimesats med kvalifikatinstillæg</t>
  </si>
  <si>
    <t xml:space="preserve">                          16 år</t>
  </si>
  <si>
    <t>Piccoline/piccolo 15 år</t>
  </si>
  <si>
    <t xml:space="preserve">                          17 år</t>
  </si>
  <si>
    <r>
      <t xml:space="preserve">Piccolo/piccoline - </t>
    </r>
    <r>
      <rPr>
        <sz val="10"/>
        <color rgb="FFFF0000"/>
        <rFont val="Arial"/>
        <family val="2"/>
      </rPr>
      <t>anvendes kun af Folketinget</t>
    </r>
  </si>
  <si>
    <t>AC Bachelor</t>
  </si>
  <si>
    <t>Der skal tillægget 17,10% i pension</t>
  </si>
  <si>
    <t>2. år (TR2/ACNY02)</t>
  </si>
  <si>
    <t>3. - og 4. år (TR3/ACNY04)</t>
  </si>
  <si>
    <t>5. år (TR4/ACNY05)</t>
  </si>
  <si>
    <t>1. år (TR1/ACNY01)</t>
  </si>
  <si>
    <t>Afhængig af medarbejder kategori, ansættelsesform, varighed og anciennitet tillægges evt. udgift til pension</t>
  </si>
  <si>
    <t>Arbejdssted Roskilde (sted IV)</t>
  </si>
  <si>
    <t>Arbejdssted, Silkeborg, Hirtshals, Nykøbing Mors (sted II)</t>
  </si>
  <si>
    <t>Satserne nedenfor er gældende fra 1. april 2025</t>
  </si>
  <si>
    <t>Censorformandsskab (LD 4747)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</si>
</sst>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._-;\-* #,##0.00\ _k_r_._-;_-* &quot;-&quot;??\ _k_r_._-;_-@_-"/>
    <numFmt numFmtId="165" formatCode="_ * #,##0.00_ ;_ * \-#,##0.00_ ;_ * &quot;-&quot;??_ ;_ @_ "/>
    <numFmt numFmtId="166" formatCode="#,##0.00000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.5"/>
      <color indexed="8"/>
      <name val="Arial"/>
      <family val="2"/>
    </font>
    <font>
      <i/>
      <sz val="10"/>
      <color indexed="8"/>
      <name val="Arial"/>
      <family val="2"/>
    </font>
    <font>
      <sz val="12"/>
      <name val="Times New Roman"/>
      <family val="1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1.5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9"/>
      <color rgb="FFFF0000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6" fillId="0" borderId="0" applyFont="0" applyFill="0" applyBorder="0" applyAlignment="0" applyProtection="0"/>
    <xf numFmtId="0" fontId="1" fillId="0" borderId="0"/>
    <xf numFmtId="0" fontId="16" fillId="0" borderId="0"/>
  </cellStyleXfs>
  <cellXfs count="36">
    <xf numFmtId="0" fontId="0" fillId="0" borderId="0" xfId="0"/>
    <xf numFmtId="4" fontId="0" fillId="0" borderId="0" xfId="0" applyNumberForma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/>
    <xf numFmtId="2" fontId="0" fillId="0" borderId="0" xfId="0" applyNumberFormat="1"/>
    <xf numFmtId="0" fontId="10" fillId="0" borderId="0" xfId="0" applyFont="1"/>
    <xf numFmtId="17" fontId="10" fillId="0" borderId="0" xfId="0" applyNumberFormat="1" applyFont="1"/>
    <xf numFmtId="0" fontId="11" fillId="0" borderId="0" xfId="0" applyFont="1"/>
    <xf numFmtId="2" fontId="11" fillId="0" borderId="0" xfId="0" applyNumberFormat="1" applyFont="1"/>
    <xf numFmtId="0" fontId="5" fillId="0" borderId="0" xfId="0" applyFont="1" applyAlignment="1">
      <alignment vertical="top" wrapText="1"/>
    </xf>
    <xf numFmtId="0" fontId="12" fillId="0" borderId="0" xfId="0" applyFont="1"/>
    <xf numFmtId="2" fontId="6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165" fontId="0" fillId="0" borderId="0" xfId="1" applyFont="1"/>
    <xf numFmtId="4" fontId="11" fillId="0" borderId="0" xfId="0" applyNumberFormat="1" applyFont="1"/>
    <xf numFmtId="165" fontId="0" fillId="0" borderId="0" xfId="0" applyNumberFormat="1"/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165" fontId="11" fillId="0" borderId="0" xfId="1" applyFont="1"/>
    <xf numFmtId="164" fontId="0" fillId="0" borderId="0" xfId="0" applyNumberFormat="1"/>
    <xf numFmtId="14" fontId="0" fillId="0" borderId="0" xfId="0" applyNumberFormat="1"/>
    <xf numFmtId="166" fontId="19" fillId="0" borderId="0" xfId="0" applyNumberFormat="1" applyFont="1"/>
    <xf numFmtId="0" fontId="9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19" fillId="0" borderId="0" xfId="0" applyNumberFormat="1" applyFon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0" xfId="0" quotePrefix="1"/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1"/>
  <sheetViews>
    <sheetView tabSelected="1" topLeftCell="A56" workbookViewId="0">
      <selection activeCell="A64" sqref="A64"/>
    </sheetView>
  </sheetViews>
  <sheetFormatPr defaultRowHeight="12.75" x14ac:dyDescent="0.2"/>
  <cols>
    <col min="1" max="1" width="53.5703125" customWidth="1"/>
    <col min="2" max="2" width="13.140625" hidden="1" customWidth="1"/>
    <col min="3" max="3" width="10.7109375" hidden="1" customWidth="1"/>
    <col min="4" max="4" width="11.85546875" hidden="1" customWidth="1"/>
    <col min="5" max="5" width="9.140625" hidden="1" customWidth="1"/>
    <col min="6" max="6" width="9.5703125" hidden="1" customWidth="1"/>
    <col min="7" max="7" width="9" hidden="1" customWidth="1"/>
    <col min="8" max="10" width="9.28515625" hidden="1" customWidth="1"/>
    <col min="11" max="11" width="12.7109375" hidden="1" customWidth="1"/>
    <col min="12" max="12" width="9.7109375" hidden="1" customWidth="1"/>
    <col min="13" max="13" width="12" hidden="1" customWidth="1"/>
    <col min="14" max="14" width="13.28515625" hidden="1" customWidth="1"/>
    <col min="15" max="15" width="12.140625" hidden="1" customWidth="1"/>
    <col min="16" max="16" width="11.85546875" hidden="1" customWidth="1"/>
    <col min="17" max="17" width="13.42578125" hidden="1" customWidth="1"/>
    <col min="18" max="18" width="13" hidden="1" customWidth="1"/>
    <col min="19" max="22" width="12" hidden="1" customWidth="1"/>
    <col min="23" max="24" width="10.140625" hidden="1" customWidth="1"/>
    <col min="25" max="25" width="14.5703125" hidden="1" customWidth="1"/>
    <col min="26" max="26" width="14" style="32" bestFit="1" customWidth="1"/>
    <col min="27" max="28" width="10.140625" bestFit="1" customWidth="1"/>
    <col min="29" max="29" width="10.5703125" bestFit="1" customWidth="1"/>
    <col min="30" max="31" width="10.140625" bestFit="1" customWidth="1"/>
  </cols>
  <sheetData>
    <row r="1" spans="1:35" ht="18" customHeight="1" x14ac:dyDescent="0.25">
      <c r="A1" s="2" t="s">
        <v>26</v>
      </c>
      <c r="B1" s="2"/>
      <c r="C1" s="2"/>
      <c r="H1" s="10">
        <v>2012</v>
      </c>
      <c r="I1" s="13">
        <v>41730</v>
      </c>
      <c r="J1" s="13">
        <v>42095</v>
      </c>
      <c r="K1" s="13">
        <v>42461</v>
      </c>
      <c r="L1" s="13">
        <v>42826</v>
      </c>
      <c r="M1" s="13">
        <v>43070</v>
      </c>
      <c r="N1" s="13">
        <v>43191</v>
      </c>
      <c r="O1" s="13">
        <v>43374</v>
      </c>
      <c r="P1" s="13">
        <v>43556</v>
      </c>
      <c r="Q1" s="28">
        <v>43922</v>
      </c>
      <c r="R1" s="28">
        <v>44228</v>
      </c>
      <c r="S1" s="28">
        <v>44287</v>
      </c>
      <c r="T1" s="28">
        <v>44470</v>
      </c>
      <c r="U1" s="28">
        <v>44652</v>
      </c>
      <c r="V1" s="28">
        <v>44835</v>
      </c>
      <c r="W1" s="28">
        <v>45017</v>
      </c>
      <c r="X1" s="28">
        <v>45200</v>
      </c>
      <c r="Y1" s="28">
        <v>45383</v>
      </c>
      <c r="Z1" s="30">
        <v>2012</v>
      </c>
      <c r="AA1" s="28">
        <v>45748</v>
      </c>
      <c r="AB1" s="28">
        <v>45962</v>
      </c>
      <c r="AC1" s="28">
        <v>46113</v>
      </c>
      <c r="AD1" s="28">
        <v>46235</v>
      </c>
      <c r="AE1" s="28"/>
      <c r="AF1" s="28"/>
      <c r="AG1" s="28"/>
    </row>
    <row r="2" spans="1:35" ht="18" customHeight="1" x14ac:dyDescent="0.25">
      <c r="A2" s="25"/>
      <c r="B2" s="2"/>
      <c r="C2" s="2"/>
      <c r="H2" s="10"/>
      <c r="I2" s="13"/>
      <c r="J2" s="13"/>
      <c r="K2" s="13"/>
      <c r="Z2" s="31"/>
    </row>
    <row r="3" spans="1:35" ht="12.75" customHeight="1" x14ac:dyDescent="0.2">
      <c r="A3" s="3" t="s">
        <v>71</v>
      </c>
      <c r="B3" s="3"/>
      <c r="C3" s="3"/>
      <c r="H3" t="s">
        <v>36</v>
      </c>
      <c r="I3">
        <v>1.7161999999999999</v>
      </c>
      <c r="J3">
        <v>2.1745000000000001</v>
      </c>
      <c r="K3">
        <v>2.9882</v>
      </c>
      <c r="L3">
        <v>4.2446000000000002</v>
      </c>
      <c r="M3">
        <v>5.7702999999999998</v>
      </c>
      <c r="N3">
        <v>6.9683000000000002</v>
      </c>
      <c r="O3">
        <v>7.4972000000000003</v>
      </c>
      <c r="P3">
        <v>8.4910999999999994</v>
      </c>
      <c r="Q3">
        <v>10.323600000000001</v>
      </c>
      <c r="R3">
        <v>10.2211</v>
      </c>
      <c r="S3">
        <v>11.1029</v>
      </c>
      <c r="T3">
        <v>11.4336</v>
      </c>
      <c r="U3">
        <v>13.410399999999999</v>
      </c>
      <c r="V3">
        <v>13.741099999999999</v>
      </c>
      <c r="W3">
        <v>15.533899999999999</v>
      </c>
      <c r="X3">
        <v>15.919700000000001</v>
      </c>
      <c r="Y3">
        <v>22.806699999999999</v>
      </c>
      <c r="Z3" s="32" t="s">
        <v>36</v>
      </c>
      <c r="AA3">
        <v>23.3095</v>
      </c>
      <c r="AB3">
        <v>24.912600000000001</v>
      </c>
      <c r="AC3">
        <v>26.508500000000002</v>
      </c>
      <c r="AD3">
        <v>27.320399999999999</v>
      </c>
    </row>
    <row r="4" spans="1:35" ht="12.75" customHeight="1" x14ac:dyDescent="0.2">
      <c r="A4" s="20" t="s">
        <v>27</v>
      </c>
      <c r="B4" s="3"/>
      <c r="C4" s="3"/>
      <c r="T4" s="28"/>
      <c r="U4" s="28"/>
      <c r="V4" s="28"/>
      <c r="W4" s="28"/>
      <c r="X4" s="28"/>
      <c r="Y4" s="29">
        <v>1.228067</v>
      </c>
      <c r="Z4" s="33"/>
      <c r="AA4" s="29">
        <v>1.2330950000000001</v>
      </c>
      <c r="AB4" s="29">
        <v>1.249126</v>
      </c>
      <c r="AC4" s="29">
        <v>1.265085</v>
      </c>
      <c r="AD4" s="29">
        <v>1.273204</v>
      </c>
      <c r="AE4" s="28"/>
      <c r="AF4" s="28"/>
      <c r="AG4" s="28"/>
      <c r="AH4" s="28"/>
      <c r="AI4" s="28"/>
    </row>
    <row r="5" spans="1:35" ht="30" customHeight="1" x14ac:dyDescent="0.2">
      <c r="A5" s="24" t="s">
        <v>68</v>
      </c>
      <c r="B5" s="3"/>
      <c r="C5" s="3"/>
    </row>
    <row r="6" spans="1:35" ht="12.75" customHeight="1" x14ac:dyDescent="0.2">
      <c r="A6" s="3"/>
      <c r="B6" s="3"/>
      <c r="C6" s="3"/>
    </row>
    <row r="7" spans="1:35" ht="30" x14ac:dyDescent="0.25">
      <c r="A7" s="4" t="s">
        <v>50</v>
      </c>
      <c r="B7" s="19">
        <v>1997</v>
      </c>
      <c r="C7" s="9">
        <v>2007</v>
      </c>
      <c r="D7" s="10">
        <v>2008</v>
      </c>
      <c r="E7" s="10">
        <v>2009</v>
      </c>
      <c r="F7" s="12"/>
    </row>
    <row r="8" spans="1:35" ht="12.75" customHeight="1" x14ac:dyDescent="0.2">
      <c r="A8" s="3" t="s">
        <v>28</v>
      </c>
      <c r="B8" s="20" t="s">
        <v>37</v>
      </c>
      <c r="C8" s="3">
        <v>1.217913</v>
      </c>
      <c r="D8">
        <v>1.2636400000000001</v>
      </c>
      <c r="E8">
        <v>1.2886280000000001</v>
      </c>
      <c r="F8" s="3">
        <v>1.3106599999999999</v>
      </c>
      <c r="AE8" s="28"/>
      <c r="AG8" s="35"/>
      <c r="AH8" s="1"/>
    </row>
    <row r="9" spans="1:35" x14ac:dyDescent="0.2">
      <c r="A9" s="5" t="s">
        <v>29</v>
      </c>
      <c r="B9" s="7">
        <v>173.16</v>
      </c>
      <c r="C9" s="5">
        <v>210.89</v>
      </c>
      <c r="D9" s="11">
        <f t="shared" ref="D9:D48" si="0">C9/$C$8*$D$8</f>
        <v>218.8079440813917</v>
      </c>
      <c r="E9" s="11">
        <f>C9/$C$8*$E$8</f>
        <v>223.13478788714795</v>
      </c>
      <c r="F9" s="11">
        <f>B9*F8</f>
        <v>226.95388559999998</v>
      </c>
      <c r="H9" s="21">
        <v>226.95</v>
      </c>
      <c r="I9" s="21">
        <v>230.84</v>
      </c>
      <c r="J9" s="21">
        <v>231.89</v>
      </c>
      <c r="K9" s="21">
        <f>H9*$K$3/100+H9</f>
        <v>233.7317199</v>
      </c>
      <c r="L9" s="23">
        <f>H9*$L$3/100+H9</f>
        <v>236.5831197</v>
      </c>
      <c r="M9" s="27">
        <f t="shared" ref="M9:M15" si="1">H9*1.057703</f>
        <v>240.04569585000002</v>
      </c>
      <c r="N9" s="27">
        <f>H9*1.069683</f>
        <v>242.76455684999996</v>
      </c>
      <c r="O9" s="27">
        <f>H9*1.074972</f>
        <v>243.96489539999999</v>
      </c>
      <c r="P9" s="27">
        <f>H9*1.084911</f>
        <v>246.22055144999999</v>
      </c>
      <c r="Q9" s="27">
        <f>H9*1.103236</f>
        <v>250.37941020000002</v>
      </c>
      <c r="R9" s="27">
        <f>H9*1.102211</f>
        <v>250.14678645000001</v>
      </c>
      <c r="S9" s="27">
        <f>H9*1.111029</f>
        <v>252.14803154999998</v>
      </c>
      <c r="T9" s="27">
        <f>H9*1.114336</f>
        <v>252.89855519999998</v>
      </c>
      <c r="U9" s="27">
        <f>H9*1.134104</f>
        <v>257.38490279999996</v>
      </c>
      <c r="V9" s="27">
        <f>H9*1.137411</f>
        <v>258.13542644999995</v>
      </c>
      <c r="W9" s="1">
        <f>+H9*1.155339</f>
        <v>262.20418604999998</v>
      </c>
      <c r="X9" s="1">
        <f>+H9*1.159197</f>
        <v>263.07975914999997</v>
      </c>
      <c r="Y9" s="1">
        <f>H9*$Y$4</f>
        <v>278.70980564999996</v>
      </c>
      <c r="Z9" s="34">
        <v>226.95</v>
      </c>
      <c r="AA9" s="1">
        <f>Z9*$AA$4</f>
        <v>279.85091024999997</v>
      </c>
      <c r="AB9" s="1">
        <f>Z9*$AB$4</f>
        <v>283.48914569999999</v>
      </c>
      <c r="AC9" s="1">
        <f>+Z9*$AC$4</f>
        <v>287.11104074999997</v>
      </c>
      <c r="AD9" s="1">
        <f>+Z9*$AD$4</f>
        <v>288.9536478</v>
      </c>
      <c r="AE9" s="28"/>
      <c r="AG9" s="35"/>
      <c r="AH9" s="1"/>
    </row>
    <row r="10" spans="1:35" x14ac:dyDescent="0.2">
      <c r="A10" s="5" t="s">
        <v>30</v>
      </c>
      <c r="B10" s="18">
        <f>B9+B9/60*90</f>
        <v>432.9</v>
      </c>
      <c r="C10" s="5">
        <v>527.23</v>
      </c>
      <c r="D10" s="11">
        <f t="shared" si="0"/>
        <v>547.02504793035303</v>
      </c>
      <c r="E10" s="11">
        <f t="shared" ref="E10:E48" si="2">C10/$C$8*$E$8</f>
        <v>557.84226003006791</v>
      </c>
      <c r="F10" s="11">
        <f>B10*F8</f>
        <v>567.38471399999992</v>
      </c>
      <c r="H10" s="21">
        <v>567.38</v>
      </c>
      <c r="I10" s="21">
        <v>577.11</v>
      </c>
      <c r="J10" s="21">
        <v>579.72</v>
      </c>
      <c r="K10" s="21">
        <f t="shared" ref="K10:K11" si="3">H10*$K$3/100+H10</f>
        <v>584.33444915999996</v>
      </c>
      <c r="L10" s="23">
        <f t="shared" ref="L10:L83" si="4">H10*$L$3/100+H10</f>
        <v>591.46301147999998</v>
      </c>
      <c r="M10" s="27">
        <f t="shared" si="1"/>
        <v>600.11952814000006</v>
      </c>
      <c r="N10" s="27">
        <f>H10*1.069683</f>
        <v>606.91674053999998</v>
      </c>
      <c r="O10" s="27">
        <f t="shared" ref="O10:O74" si="5">H10*1.074972</f>
        <v>609.91761336000002</v>
      </c>
      <c r="P10" s="27">
        <f>H10*1.084911</f>
        <v>615.55680317999997</v>
      </c>
      <c r="Q10" s="27">
        <f t="shared" ref="Q10:Q68" si="6">H10*1.103236</f>
        <v>625.95404168000005</v>
      </c>
      <c r="R10" s="27">
        <f t="shared" ref="R10:R74" si="7">H10*1.102211</f>
        <v>625.37247718000003</v>
      </c>
      <c r="S10" s="27">
        <f t="shared" ref="S10:S74" si="8">H10*1.111029</f>
        <v>630.37563402000001</v>
      </c>
      <c r="T10" s="27">
        <f t="shared" ref="T10:T74" si="9">H10*1.114336</f>
        <v>632.25195968000003</v>
      </c>
      <c r="U10" s="27">
        <f t="shared" ref="U10:U74" si="10">H10*1.134104</f>
        <v>643.46792751999999</v>
      </c>
      <c r="V10" s="27">
        <f t="shared" ref="V10:V74" si="11">H10*1.137411</f>
        <v>645.34425318000001</v>
      </c>
      <c r="W10" s="1">
        <f t="shared" ref="W10:W72" si="12">+H10*1.155339</f>
        <v>655.51624181999989</v>
      </c>
      <c r="X10" s="1">
        <f t="shared" ref="X10:X72" si="13">+H10*1.159197</f>
        <v>657.70519386000001</v>
      </c>
      <c r="Y10" s="1">
        <f t="shared" ref="Y10:Y72" si="14">H10*$Y$4</f>
        <v>696.78065446000005</v>
      </c>
      <c r="Z10" s="34">
        <v>567.38</v>
      </c>
      <c r="AA10" s="1">
        <f t="shared" ref="AA10" si="15">Z10*$AA$4</f>
        <v>699.63344110000003</v>
      </c>
      <c r="AB10" s="1">
        <f t="shared" ref="AB10:AB21" si="16">Z10*$AB$4</f>
        <v>708.72910988000001</v>
      </c>
      <c r="AC10" s="1">
        <f t="shared" ref="AC10:AC73" si="17">+Z10*$AC$4</f>
        <v>717.78392729999996</v>
      </c>
      <c r="AD10" s="1">
        <f t="shared" ref="AD10:AD73" si="18">+Z10*$AD$4</f>
        <v>722.39048551999997</v>
      </c>
    </row>
    <row r="11" spans="1:35" x14ac:dyDescent="0.2">
      <c r="A11" s="5" t="s">
        <v>31</v>
      </c>
      <c r="B11" s="7">
        <f>B10*4</f>
        <v>1731.6</v>
      </c>
      <c r="C11" s="6">
        <v>2108.94</v>
      </c>
      <c r="D11" s="11">
        <f t="shared" si="0"/>
        <v>2188.120942628907</v>
      </c>
      <c r="E11" s="11">
        <f t="shared" si="2"/>
        <v>2231.3902013690636</v>
      </c>
      <c r="F11" s="11">
        <f>B11*F8</f>
        <v>2269.5388559999997</v>
      </c>
      <c r="H11" s="21">
        <f>H10*4</f>
        <v>2269.52</v>
      </c>
      <c r="I11" s="21">
        <v>2308.4699999999998</v>
      </c>
      <c r="J11" s="21">
        <v>2318.87</v>
      </c>
      <c r="K11" s="21">
        <f t="shared" si="3"/>
        <v>2337.3377966399999</v>
      </c>
      <c r="L11" s="23">
        <f t="shared" si="4"/>
        <v>2365.8520459199999</v>
      </c>
      <c r="M11" s="27">
        <f t="shared" si="1"/>
        <v>2400.4781125600002</v>
      </c>
      <c r="N11" s="27">
        <f t="shared" ref="N11:N75" si="19">H11*1.069683</f>
        <v>2427.6669621599999</v>
      </c>
      <c r="O11" s="27">
        <f t="shared" si="5"/>
        <v>2439.6704534400001</v>
      </c>
      <c r="P11" s="27">
        <f>H11*1.084911</f>
        <v>2462.2272127199999</v>
      </c>
      <c r="Q11" s="27">
        <f t="shared" si="6"/>
        <v>2503.8161667200002</v>
      </c>
      <c r="R11" s="27">
        <f t="shared" si="7"/>
        <v>2501.4899087200001</v>
      </c>
      <c r="S11" s="27">
        <f t="shared" si="8"/>
        <v>2521.50253608</v>
      </c>
      <c r="T11" s="27">
        <f t="shared" si="9"/>
        <v>2529.0078387200001</v>
      </c>
      <c r="U11" s="27">
        <f t="shared" si="10"/>
        <v>2573.87171008</v>
      </c>
      <c r="V11" s="27">
        <f t="shared" si="11"/>
        <v>2581.37701272</v>
      </c>
      <c r="W11" s="1">
        <f t="shared" si="12"/>
        <v>2622.0649672799996</v>
      </c>
      <c r="X11" s="1">
        <f t="shared" si="13"/>
        <v>2630.82077544</v>
      </c>
      <c r="Y11" s="1">
        <f t="shared" si="14"/>
        <v>2787.1226178400002</v>
      </c>
      <c r="Z11" s="34">
        <f>Z10*4</f>
        <v>2269.52</v>
      </c>
      <c r="AA11" s="1">
        <f>Z11*$AA$4</f>
        <v>2798.5337644000001</v>
      </c>
      <c r="AB11" s="1">
        <f t="shared" si="16"/>
        <v>2834.91643952</v>
      </c>
      <c r="AC11" s="1">
        <f t="shared" si="17"/>
        <v>2871.1357091999998</v>
      </c>
      <c r="AD11" s="1">
        <f t="shared" si="18"/>
        <v>2889.5619420799999</v>
      </c>
    </row>
    <row r="12" spans="1:35" ht="12.75" customHeight="1" x14ac:dyDescent="0.2">
      <c r="A12" s="5" t="s">
        <v>0</v>
      </c>
      <c r="B12" s="7"/>
      <c r="C12" s="5"/>
      <c r="D12" s="11"/>
      <c r="E12" s="11"/>
      <c r="H12" s="21"/>
      <c r="I12" s="21"/>
      <c r="J12" s="21"/>
      <c r="L12" s="23"/>
      <c r="M12" s="27"/>
      <c r="N12" s="27">
        <f t="shared" si="19"/>
        <v>0</v>
      </c>
      <c r="O12" s="27">
        <f t="shared" si="5"/>
        <v>0</v>
      </c>
      <c r="P12" s="27">
        <f t="shared" ref="P12:P76" si="20">H12*1.084911</f>
        <v>0</v>
      </c>
      <c r="Q12" s="27">
        <f t="shared" si="6"/>
        <v>0</v>
      </c>
      <c r="R12" s="27">
        <f t="shared" si="7"/>
        <v>0</v>
      </c>
      <c r="S12" s="27">
        <f t="shared" si="8"/>
        <v>0</v>
      </c>
      <c r="T12" s="27">
        <f t="shared" si="9"/>
        <v>0</v>
      </c>
      <c r="U12" s="27">
        <f t="shared" si="10"/>
        <v>0</v>
      </c>
      <c r="V12" s="27">
        <f t="shared" si="11"/>
        <v>0</v>
      </c>
      <c r="W12" s="1"/>
      <c r="X12" s="1"/>
      <c r="Y12" s="1"/>
      <c r="Z12" s="34"/>
      <c r="AA12" s="1"/>
      <c r="AC12" s="1"/>
      <c r="AD12" s="1"/>
    </row>
    <row r="13" spans="1:35" x14ac:dyDescent="0.2">
      <c r="A13" s="5" t="s">
        <v>1</v>
      </c>
      <c r="B13" s="7">
        <v>173.16</v>
      </c>
      <c r="C13" s="5">
        <v>210.89</v>
      </c>
      <c r="D13" s="11">
        <f t="shared" si="0"/>
        <v>218.8079440813917</v>
      </c>
      <c r="E13" s="11">
        <f t="shared" si="2"/>
        <v>223.13478788714795</v>
      </c>
      <c r="F13" s="11">
        <f>B13*F8</f>
        <v>226.95388559999998</v>
      </c>
      <c r="G13" s="11"/>
      <c r="H13" s="21">
        <v>226.95</v>
      </c>
      <c r="I13" s="21">
        <v>230.84</v>
      </c>
      <c r="J13" s="21">
        <v>231.89</v>
      </c>
      <c r="K13" s="21">
        <v>233.73</v>
      </c>
      <c r="L13" s="23">
        <f t="shared" si="4"/>
        <v>236.5831197</v>
      </c>
      <c r="M13" s="27">
        <f t="shared" si="1"/>
        <v>240.04569585000002</v>
      </c>
      <c r="N13" s="27">
        <f t="shared" si="19"/>
        <v>242.76455684999996</v>
      </c>
      <c r="O13" s="27">
        <f t="shared" si="5"/>
        <v>243.96489539999999</v>
      </c>
      <c r="P13" s="27">
        <f t="shared" si="20"/>
        <v>246.22055144999999</v>
      </c>
      <c r="Q13" s="27">
        <f t="shared" si="6"/>
        <v>250.37941020000002</v>
      </c>
      <c r="R13" s="27">
        <f t="shared" si="7"/>
        <v>250.14678645000001</v>
      </c>
      <c r="S13" s="27">
        <f t="shared" si="8"/>
        <v>252.14803154999998</v>
      </c>
      <c r="T13" s="27">
        <f t="shared" si="9"/>
        <v>252.89855519999998</v>
      </c>
      <c r="U13" s="27">
        <f t="shared" si="10"/>
        <v>257.38490279999996</v>
      </c>
      <c r="V13" s="27">
        <f t="shared" si="11"/>
        <v>258.13542644999995</v>
      </c>
      <c r="W13" s="1">
        <f t="shared" si="12"/>
        <v>262.20418604999998</v>
      </c>
      <c r="X13" s="1">
        <f t="shared" si="13"/>
        <v>263.07975914999997</v>
      </c>
      <c r="Y13" s="1">
        <f t="shared" si="14"/>
        <v>278.70980564999996</v>
      </c>
      <c r="Z13" s="34">
        <v>226.95</v>
      </c>
      <c r="AA13" s="1">
        <f>Z13*$AA$4</f>
        <v>279.85091024999997</v>
      </c>
      <c r="AB13" s="1">
        <f t="shared" si="16"/>
        <v>283.48914569999999</v>
      </c>
      <c r="AC13" s="1">
        <f t="shared" si="17"/>
        <v>287.11104074999997</v>
      </c>
      <c r="AD13" s="1">
        <f t="shared" si="18"/>
        <v>288.9536478</v>
      </c>
    </row>
    <row r="14" spans="1:35" ht="12.75" customHeight="1" x14ac:dyDescent="0.2">
      <c r="A14" s="5" t="s">
        <v>2</v>
      </c>
      <c r="B14" s="7"/>
      <c r="C14" s="5"/>
      <c r="D14" s="11">
        <f t="shared" si="0"/>
        <v>0</v>
      </c>
      <c r="E14" s="11">
        <f t="shared" si="2"/>
        <v>0</v>
      </c>
      <c r="G14" s="11"/>
      <c r="H14" s="21"/>
      <c r="I14" s="21"/>
      <c r="J14" s="21"/>
      <c r="L14" s="23"/>
      <c r="M14" s="27"/>
      <c r="N14" s="27">
        <f t="shared" si="19"/>
        <v>0</v>
      </c>
      <c r="O14" s="27">
        <f t="shared" si="5"/>
        <v>0</v>
      </c>
      <c r="P14" s="27">
        <f t="shared" si="20"/>
        <v>0</v>
      </c>
      <c r="Q14" s="27">
        <f t="shared" si="6"/>
        <v>0</v>
      </c>
      <c r="R14" s="27">
        <f t="shared" si="7"/>
        <v>0</v>
      </c>
      <c r="S14" s="27">
        <f t="shared" si="8"/>
        <v>0</v>
      </c>
      <c r="T14" s="27">
        <f t="shared" si="9"/>
        <v>0</v>
      </c>
      <c r="U14" s="27">
        <f t="shared" si="10"/>
        <v>0</v>
      </c>
      <c r="V14" s="27">
        <f t="shared" si="11"/>
        <v>0</v>
      </c>
      <c r="W14" s="1"/>
      <c r="X14" s="1"/>
      <c r="Y14" s="1"/>
      <c r="Z14" s="34"/>
      <c r="AA14" s="1"/>
      <c r="AC14" s="1"/>
      <c r="AD14" s="1"/>
    </row>
    <row r="15" spans="1:35" x14ac:dyDescent="0.2">
      <c r="A15" s="5" t="s">
        <v>3</v>
      </c>
      <c r="B15" s="7">
        <v>173.16</v>
      </c>
      <c r="C15" s="5">
        <v>421.79</v>
      </c>
      <c r="D15" s="11">
        <f t="shared" si="0"/>
        <v>437.62626361653093</v>
      </c>
      <c r="E15" s="11">
        <f t="shared" si="2"/>
        <v>446.28015639869193</v>
      </c>
      <c r="F15" s="11">
        <f>B15*2*F8</f>
        <v>453.90777119999996</v>
      </c>
      <c r="G15" s="11"/>
      <c r="H15" s="21">
        <v>226.95</v>
      </c>
      <c r="I15" s="21">
        <v>230.84</v>
      </c>
      <c r="J15" s="21">
        <v>231.89</v>
      </c>
      <c r="K15" s="21">
        <v>233.73</v>
      </c>
      <c r="L15" s="23">
        <f t="shared" si="4"/>
        <v>236.5831197</v>
      </c>
      <c r="M15" s="27">
        <f t="shared" si="1"/>
        <v>240.04569585000002</v>
      </c>
      <c r="N15" s="27">
        <f t="shared" si="19"/>
        <v>242.76455684999996</v>
      </c>
      <c r="O15" s="27">
        <f t="shared" si="5"/>
        <v>243.96489539999999</v>
      </c>
      <c r="P15" s="27">
        <f t="shared" si="20"/>
        <v>246.22055144999999</v>
      </c>
      <c r="Q15" s="27">
        <f t="shared" si="6"/>
        <v>250.37941020000002</v>
      </c>
      <c r="R15" s="27">
        <f t="shared" si="7"/>
        <v>250.14678645000001</v>
      </c>
      <c r="S15" s="27">
        <f t="shared" si="8"/>
        <v>252.14803154999998</v>
      </c>
      <c r="T15" s="27">
        <f t="shared" si="9"/>
        <v>252.89855519999998</v>
      </c>
      <c r="U15" s="27">
        <f t="shared" si="10"/>
        <v>257.38490279999996</v>
      </c>
      <c r="V15" s="27">
        <f t="shared" si="11"/>
        <v>258.13542644999995</v>
      </c>
      <c r="W15" s="1">
        <f t="shared" si="12"/>
        <v>262.20418604999998</v>
      </c>
      <c r="X15" s="1">
        <f t="shared" si="13"/>
        <v>263.07975914999997</v>
      </c>
      <c r="Y15" s="1">
        <f t="shared" si="14"/>
        <v>278.70980564999996</v>
      </c>
      <c r="Z15" s="34">
        <v>226.95</v>
      </c>
      <c r="AA15" s="1">
        <f>Z15*$AA$4</f>
        <v>279.85091024999997</v>
      </c>
      <c r="AB15" s="1">
        <f t="shared" si="16"/>
        <v>283.48914569999999</v>
      </c>
      <c r="AC15" s="1">
        <f t="shared" si="17"/>
        <v>287.11104074999997</v>
      </c>
      <c r="AD15" s="1">
        <f t="shared" si="18"/>
        <v>288.9536478</v>
      </c>
    </row>
    <row r="16" spans="1:35" ht="12.75" customHeight="1" x14ac:dyDescent="0.2">
      <c r="A16" s="3" t="s">
        <v>33</v>
      </c>
      <c r="B16" s="20"/>
      <c r="C16" s="3"/>
      <c r="D16" s="11"/>
      <c r="E16" s="11"/>
      <c r="G16" s="11"/>
      <c r="H16" s="21"/>
      <c r="I16" s="21"/>
      <c r="J16" s="21"/>
      <c r="L16" s="23"/>
      <c r="N16" s="27">
        <f t="shared" si="19"/>
        <v>0</v>
      </c>
      <c r="O16" s="27">
        <f t="shared" si="5"/>
        <v>0</v>
      </c>
      <c r="P16" s="27">
        <f t="shared" si="20"/>
        <v>0</v>
      </c>
      <c r="Q16" s="27">
        <f>H16*1.103236</f>
        <v>0</v>
      </c>
      <c r="R16" s="27">
        <f t="shared" si="7"/>
        <v>0</v>
      </c>
      <c r="S16" s="27">
        <f t="shared" si="8"/>
        <v>0</v>
      </c>
      <c r="T16" s="27">
        <f t="shared" si="9"/>
        <v>0</v>
      </c>
      <c r="U16" s="27">
        <f t="shared" si="10"/>
        <v>0</v>
      </c>
      <c r="V16" s="27">
        <f t="shared" si="11"/>
        <v>0</v>
      </c>
      <c r="W16" s="1"/>
      <c r="X16" s="1"/>
      <c r="Y16" s="1"/>
      <c r="Z16" s="34"/>
      <c r="AA16" s="1"/>
      <c r="AC16" s="1"/>
      <c r="AD16" s="1"/>
    </row>
    <row r="17" spans="1:30" x14ac:dyDescent="0.2">
      <c r="A17" s="7" t="s">
        <v>6</v>
      </c>
      <c r="B17" s="7">
        <v>83.47</v>
      </c>
      <c r="C17" s="5">
        <v>101.66</v>
      </c>
      <c r="D17" s="11">
        <f>C17/$C$8*$D$8</f>
        <v>105.47686279726057</v>
      </c>
      <c r="E17" s="11">
        <f>C17/$C$8*$E$8</f>
        <v>107.5626276096897</v>
      </c>
      <c r="F17" s="11">
        <f>B17*F8</f>
        <v>109.40079019999999</v>
      </c>
      <c r="G17" s="11"/>
      <c r="H17" s="21">
        <v>122.94</v>
      </c>
      <c r="I17" s="21">
        <v>125.05</v>
      </c>
      <c r="J17" s="21">
        <v>125.61</v>
      </c>
      <c r="L17" s="23"/>
      <c r="N17" s="27">
        <f t="shared" si="19"/>
        <v>131.50682802</v>
      </c>
      <c r="O17" s="27">
        <f t="shared" si="5"/>
        <v>132.15705768000001</v>
      </c>
      <c r="P17" s="27">
        <f t="shared" si="20"/>
        <v>133.37895834</v>
      </c>
      <c r="Q17" s="27">
        <f t="shared" si="6"/>
        <v>135.63183384000001</v>
      </c>
      <c r="R17" s="27">
        <f t="shared" si="7"/>
        <v>135.50582034000001</v>
      </c>
      <c r="S17" s="27">
        <f t="shared" si="8"/>
        <v>136.58990525999999</v>
      </c>
      <c r="T17" s="27">
        <f t="shared" si="9"/>
        <v>136.99646784000001</v>
      </c>
      <c r="U17" s="27">
        <f t="shared" si="10"/>
        <v>139.42674575999999</v>
      </c>
      <c r="V17" s="27">
        <f t="shared" si="11"/>
        <v>139.83330834</v>
      </c>
      <c r="W17" s="1">
        <f t="shared" si="12"/>
        <v>142.03737665999998</v>
      </c>
      <c r="X17" s="1">
        <f t="shared" si="13"/>
        <v>142.51167917999999</v>
      </c>
      <c r="Y17" s="1">
        <f t="shared" si="14"/>
        <v>150.97855698000001</v>
      </c>
      <c r="Z17" s="34">
        <v>122.93</v>
      </c>
      <c r="AA17" s="1">
        <f>H17*$AA$4</f>
        <v>151.59669930000001</v>
      </c>
      <c r="AB17" s="1">
        <f t="shared" si="16"/>
        <v>153.55505918</v>
      </c>
      <c r="AC17" s="1">
        <f t="shared" si="17"/>
        <v>155.51689905000001</v>
      </c>
      <c r="AD17" s="1">
        <f t="shared" si="18"/>
        <v>156.51496772000002</v>
      </c>
    </row>
    <row r="18" spans="1:30" x14ac:dyDescent="0.2">
      <c r="A18" s="7" t="s">
        <v>48</v>
      </c>
      <c r="B18" s="7">
        <v>153.22</v>
      </c>
      <c r="C18" s="5"/>
      <c r="D18" s="11"/>
      <c r="E18" s="11"/>
      <c r="F18" s="11"/>
      <c r="G18" s="11"/>
      <c r="H18" s="21">
        <v>201.95</v>
      </c>
      <c r="I18" s="21">
        <v>204.27</v>
      </c>
      <c r="J18" s="21">
        <v>205.19</v>
      </c>
      <c r="K18" s="21">
        <v>206.82</v>
      </c>
      <c r="L18" s="23">
        <f t="shared" si="4"/>
        <v>210.5219697</v>
      </c>
      <c r="M18" s="27">
        <f>H18*1.057703</f>
        <v>213.60312085000001</v>
      </c>
      <c r="N18" s="27">
        <f t="shared" si="19"/>
        <v>216.02248184999996</v>
      </c>
      <c r="O18" s="27">
        <f t="shared" si="5"/>
        <v>217.09059539999998</v>
      </c>
      <c r="P18" s="27">
        <f t="shared" si="20"/>
        <v>219.09777644999997</v>
      </c>
      <c r="Q18" s="27">
        <f t="shared" si="6"/>
        <v>222.79851020000001</v>
      </c>
      <c r="R18" s="27">
        <f t="shared" si="7"/>
        <v>222.59151144999998</v>
      </c>
      <c r="S18" s="27">
        <f t="shared" si="8"/>
        <v>224.37230654999999</v>
      </c>
      <c r="T18" s="27">
        <f t="shared" si="9"/>
        <v>225.04015519999999</v>
      </c>
      <c r="U18" s="27">
        <f t="shared" si="10"/>
        <v>229.0323028</v>
      </c>
      <c r="V18" s="27">
        <f t="shared" si="11"/>
        <v>229.70015144999996</v>
      </c>
      <c r="W18" s="1">
        <f t="shared" si="12"/>
        <v>233.32071104999997</v>
      </c>
      <c r="X18" s="1">
        <f t="shared" si="13"/>
        <v>234.09983414999999</v>
      </c>
      <c r="Y18" s="1">
        <f t="shared" si="14"/>
        <v>248.00813065</v>
      </c>
      <c r="Z18" s="34">
        <v>203.72</v>
      </c>
      <c r="AA18" s="1">
        <f>Z18*$AA$4</f>
        <v>251.20611340000002</v>
      </c>
      <c r="AB18" s="1">
        <f t="shared" si="16"/>
        <v>254.47194872</v>
      </c>
      <c r="AC18" s="1">
        <f t="shared" si="17"/>
        <v>257.72311619999999</v>
      </c>
      <c r="AD18" s="1">
        <f t="shared" si="18"/>
        <v>259.37711888000001</v>
      </c>
    </row>
    <row r="19" spans="1:30" x14ac:dyDescent="0.2">
      <c r="A19" s="7" t="s">
        <v>47</v>
      </c>
      <c r="B19" s="7">
        <v>114.68</v>
      </c>
      <c r="C19" s="5">
        <v>106.36</v>
      </c>
      <c r="D19" s="11">
        <f>C19/$C$8*$D$8</f>
        <v>110.35332605859369</v>
      </c>
      <c r="E19" s="11">
        <f>C19/$C$8*$E$8</f>
        <v>112.53552107580757</v>
      </c>
      <c r="F19" s="11">
        <f>B19*F8</f>
        <v>150.30648880000001</v>
      </c>
      <c r="H19" s="21">
        <v>151.15</v>
      </c>
      <c r="I19" s="21">
        <v>152.88999999999999</v>
      </c>
      <c r="J19" s="21">
        <v>153.58000000000001</v>
      </c>
      <c r="K19" s="21">
        <v>154.80000000000001</v>
      </c>
      <c r="L19" s="23">
        <f t="shared" si="4"/>
        <v>157.56571289999999</v>
      </c>
      <c r="M19" s="27">
        <f t="shared" ref="M19:M83" si="21">H19*1.057703</f>
        <v>159.87180845</v>
      </c>
      <c r="N19" s="27">
        <f t="shared" si="19"/>
        <v>161.68258545</v>
      </c>
      <c r="O19" s="27">
        <f t="shared" si="5"/>
        <v>162.48201780000002</v>
      </c>
      <c r="P19" s="27">
        <f t="shared" si="20"/>
        <v>163.98429765</v>
      </c>
      <c r="Q19" s="27">
        <f t="shared" si="6"/>
        <v>166.75412140000003</v>
      </c>
      <c r="R19" s="27">
        <f t="shared" si="7"/>
        <v>166.59919265000002</v>
      </c>
      <c r="S19" s="27">
        <f t="shared" si="8"/>
        <v>167.93203335000001</v>
      </c>
      <c r="T19" s="27">
        <f t="shared" si="9"/>
        <v>168.4318864</v>
      </c>
      <c r="U19" s="27">
        <f t="shared" si="10"/>
        <v>171.41981960000001</v>
      </c>
      <c r="V19" s="27">
        <f t="shared" si="11"/>
        <v>171.91967265</v>
      </c>
      <c r="W19" s="1">
        <f t="shared" si="12"/>
        <v>174.62948985</v>
      </c>
      <c r="X19" s="1">
        <f t="shared" si="13"/>
        <v>175.21262655000001</v>
      </c>
      <c r="Y19" s="1">
        <f t="shared" si="14"/>
        <v>185.62232705000002</v>
      </c>
      <c r="Z19" s="34">
        <v>152.91999999999999</v>
      </c>
      <c r="AA19" s="1">
        <f t="shared" ref="AA19:AA21" si="22">Z19*$AA$4</f>
        <v>188.5648874</v>
      </c>
      <c r="AB19" s="1">
        <f t="shared" si="16"/>
        <v>191.01634791999999</v>
      </c>
      <c r="AC19" s="1">
        <f t="shared" si="17"/>
        <v>193.45679819999998</v>
      </c>
      <c r="AD19" s="1">
        <f t="shared" si="18"/>
        <v>194.69835567999999</v>
      </c>
    </row>
    <row r="20" spans="1:30" x14ac:dyDescent="0.2">
      <c r="A20" s="7" t="s">
        <v>57</v>
      </c>
      <c r="B20" s="7"/>
      <c r="C20" s="5"/>
      <c r="D20" s="11"/>
      <c r="E20" s="11"/>
      <c r="F20" s="11"/>
      <c r="H20" s="21">
        <v>154.01</v>
      </c>
      <c r="I20" s="21">
        <v>155.81</v>
      </c>
      <c r="J20" s="21">
        <v>156.51</v>
      </c>
      <c r="K20" s="21">
        <v>157.76</v>
      </c>
      <c r="L20" s="23">
        <f t="shared" si="4"/>
        <v>160.54710846</v>
      </c>
      <c r="M20" s="27">
        <f t="shared" si="21"/>
        <v>162.89683903</v>
      </c>
      <c r="N20" s="27">
        <f t="shared" si="19"/>
        <v>164.74187882999999</v>
      </c>
      <c r="O20" s="27">
        <f t="shared" si="5"/>
        <v>165.55643771999999</v>
      </c>
      <c r="P20" s="27">
        <f t="shared" si="20"/>
        <v>167.08714310999997</v>
      </c>
      <c r="Q20" s="27">
        <f>H20*1.103236</f>
        <v>169.90937636000001</v>
      </c>
      <c r="R20" s="27">
        <f t="shared" si="7"/>
        <v>169.75151611000001</v>
      </c>
      <c r="S20" s="27">
        <f t="shared" si="8"/>
        <v>171.10957629000001</v>
      </c>
      <c r="T20" s="27">
        <f t="shared" si="9"/>
        <v>171.61888736</v>
      </c>
      <c r="U20" s="27">
        <f t="shared" si="10"/>
        <v>174.66335703999999</v>
      </c>
      <c r="V20" s="27">
        <f t="shared" si="11"/>
        <v>175.17266810999999</v>
      </c>
      <c r="W20" s="1">
        <f t="shared" si="12"/>
        <v>177.93375938999998</v>
      </c>
      <c r="X20" s="1">
        <f t="shared" si="13"/>
        <v>178.52792997</v>
      </c>
      <c r="Y20" s="1">
        <f t="shared" si="14"/>
        <v>189.13459867</v>
      </c>
      <c r="Z20" s="34">
        <f>152.92+2.86</f>
        <v>155.78</v>
      </c>
      <c r="AA20" s="1">
        <f t="shared" si="22"/>
        <v>192.09153910000001</v>
      </c>
      <c r="AB20" s="1">
        <f t="shared" si="16"/>
        <v>194.58884828000001</v>
      </c>
      <c r="AC20" s="1">
        <f t="shared" si="17"/>
        <v>197.07494130000001</v>
      </c>
      <c r="AD20" s="1">
        <f t="shared" si="18"/>
        <v>198.33971912000001</v>
      </c>
    </row>
    <row r="21" spans="1:30" x14ac:dyDescent="0.2">
      <c r="A21" s="7" t="s">
        <v>7</v>
      </c>
      <c r="B21" s="7">
        <v>136.52000000000001</v>
      </c>
      <c r="C21" s="5">
        <v>166.27</v>
      </c>
      <c r="D21" s="11">
        <f>C21/$C$8*$D$8</f>
        <v>172.51266945996966</v>
      </c>
      <c r="E21" s="11">
        <f>C21/$C$8*$E$8</f>
        <v>175.92404183221629</v>
      </c>
      <c r="F21" s="11">
        <f>B21*F8</f>
        <v>178.9313032</v>
      </c>
      <c r="H21" s="21">
        <v>179.93</v>
      </c>
      <c r="I21" s="21">
        <v>182</v>
      </c>
      <c r="J21" s="21">
        <v>182.82</v>
      </c>
      <c r="K21" s="21">
        <v>184.28</v>
      </c>
      <c r="L21" s="23">
        <f t="shared" si="4"/>
        <v>187.56730878000002</v>
      </c>
      <c r="M21" s="27">
        <f t="shared" si="21"/>
        <v>190.31250079000003</v>
      </c>
      <c r="N21" s="27">
        <f t="shared" si="19"/>
        <v>192.46806218999998</v>
      </c>
      <c r="O21" s="27">
        <f t="shared" si="5"/>
        <v>193.41971196</v>
      </c>
      <c r="P21" s="27">
        <f t="shared" si="20"/>
        <v>195.20803623</v>
      </c>
      <c r="Q21" s="27">
        <f t="shared" si="6"/>
        <v>198.50525348000002</v>
      </c>
      <c r="R21" s="27">
        <f t="shared" si="7"/>
        <v>198.32082523000003</v>
      </c>
      <c r="S21" s="27">
        <f t="shared" si="8"/>
        <v>199.90744797000002</v>
      </c>
      <c r="T21" s="27">
        <f t="shared" si="9"/>
        <v>200.50247648000001</v>
      </c>
      <c r="U21" s="27">
        <f t="shared" si="10"/>
        <v>204.05933272000001</v>
      </c>
      <c r="V21" s="27">
        <f t="shared" si="11"/>
        <v>204.65436123000001</v>
      </c>
      <c r="W21" s="1">
        <f t="shared" si="12"/>
        <v>207.88014626999998</v>
      </c>
      <c r="X21" s="1">
        <f t="shared" si="13"/>
        <v>208.57431621000001</v>
      </c>
      <c r="Y21" s="1">
        <f t="shared" si="14"/>
        <v>220.96609531000001</v>
      </c>
      <c r="Z21" s="34">
        <v>181.7</v>
      </c>
      <c r="AA21" s="1">
        <f t="shared" si="22"/>
        <v>224.05336149999999</v>
      </c>
      <c r="AB21" s="1">
        <f t="shared" si="16"/>
        <v>226.96619419999999</v>
      </c>
      <c r="AC21" s="1">
        <f t="shared" si="17"/>
        <v>229.86594449999998</v>
      </c>
      <c r="AD21" s="1">
        <f t="shared" si="18"/>
        <v>231.3411668</v>
      </c>
    </row>
    <row r="22" spans="1:30" x14ac:dyDescent="0.2">
      <c r="A22" s="7"/>
      <c r="B22" s="7"/>
      <c r="C22" s="5"/>
      <c r="D22" s="11"/>
      <c r="E22" s="11"/>
      <c r="F22" s="11"/>
      <c r="H22" s="21"/>
      <c r="I22" s="21"/>
      <c r="J22" s="21"/>
      <c r="K22" s="21"/>
      <c r="L22" s="23"/>
      <c r="M22" s="27"/>
      <c r="N22" s="27">
        <f t="shared" si="19"/>
        <v>0</v>
      </c>
      <c r="O22" s="27">
        <f t="shared" si="5"/>
        <v>0</v>
      </c>
      <c r="P22" s="27">
        <f t="shared" si="20"/>
        <v>0</v>
      </c>
      <c r="Q22" s="27">
        <f t="shared" si="6"/>
        <v>0</v>
      </c>
      <c r="R22" s="27">
        <f t="shared" si="7"/>
        <v>0</v>
      </c>
      <c r="S22" s="27">
        <f t="shared" si="8"/>
        <v>0</v>
      </c>
      <c r="T22" s="27">
        <f t="shared" si="9"/>
        <v>0</v>
      </c>
      <c r="U22" s="27">
        <f t="shared" si="10"/>
        <v>0</v>
      </c>
      <c r="V22" s="27">
        <f t="shared" si="11"/>
        <v>0</v>
      </c>
      <c r="W22" s="1"/>
      <c r="X22" s="1"/>
      <c r="Y22" s="1"/>
      <c r="Z22" s="34"/>
      <c r="AA22" s="1"/>
      <c r="AC22" s="1"/>
      <c r="AD22" s="1"/>
    </row>
    <row r="23" spans="1:30" ht="15" x14ac:dyDescent="0.25">
      <c r="A23" s="4" t="s">
        <v>49</v>
      </c>
      <c r="B23" s="7"/>
      <c r="C23" s="5"/>
      <c r="D23" s="11"/>
      <c r="E23" s="11"/>
      <c r="F23" s="11"/>
      <c r="H23" s="21"/>
      <c r="I23" s="21"/>
      <c r="J23" s="21"/>
      <c r="L23" s="23"/>
      <c r="M23" s="27"/>
      <c r="N23" s="27">
        <f t="shared" si="19"/>
        <v>0</v>
      </c>
      <c r="O23" s="27">
        <f t="shared" si="5"/>
        <v>0</v>
      </c>
      <c r="P23" s="27">
        <f t="shared" si="20"/>
        <v>0</v>
      </c>
      <c r="Q23" s="27">
        <f t="shared" si="6"/>
        <v>0</v>
      </c>
      <c r="R23" s="27">
        <f t="shared" si="7"/>
        <v>0</v>
      </c>
      <c r="S23" s="27">
        <f t="shared" si="8"/>
        <v>0</v>
      </c>
      <c r="T23" s="27">
        <f t="shared" si="9"/>
        <v>0</v>
      </c>
      <c r="U23" s="27">
        <f t="shared" si="10"/>
        <v>0</v>
      </c>
      <c r="V23" s="27">
        <f t="shared" si="11"/>
        <v>0</v>
      </c>
      <c r="W23" s="1"/>
      <c r="X23" s="1"/>
      <c r="Y23" s="1"/>
      <c r="Z23" s="34"/>
      <c r="AA23" s="1"/>
      <c r="AC23" s="1"/>
      <c r="AD23" s="1"/>
    </row>
    <row r="24" spans="1:30" x14ac:dyDescent="0.2">
      <c r="A24" s="3" t="s">
        <v>4</v>
      </c>
      <c r="B24" s="20"/>
      <c r="C24" s="3"/>
      <c r="D24" s="11"/>
      <c r="E24" s="11"/>
      <c r="G24" s="11"/>
      <c r="H24" s="21"/>
      <c r="I24" s="21"/>
      <c r="J24" s="21"/>
      <c r="L24" s="23"/>
      <c r="M24" s="27"/>
      <c r="N24" s="27">
        <f t="shared" si="19"/>
        <v>0</v>
      </c>
      <c r="O24" s="27">
        <f t="shared" si="5"/>
        <v>0</v>
      </c>
      <c r="P24" s="27">
        <f t="shared" si="20"/>
        <v>0</v>
      </c>
      <c r="Q24" s="27">
        <f t="shared" si="6"/>
        <v>0</v>
      </c>
      <c r="R24" s="27">
        <f t="shared" si="7"/>
        <v>0</v>
      </c>
      <c r="S24" s="27">
        <f t="shared" si="8"/>
        <v>0</v>
      </c>
      <c r="T24" s="27">
        <f t="shared" si="9"/>
        <v>0</v>
      </c>
      <c r="U24" s="27">
        <f t="shared" si="10"/>
        <v>0</v>
      </c>
      <c r="V24" s="27">
        <f t="shared" si="11"/>
        <v>0</v>
      </c>
      <c r="W24" s="1"/>
      <c r="X24" s="1"/>
      <c r="Y24" s="1"/>
      <c r="Z24" s="34"/>
      <c r="AA24" s="1"/>
      <c r="AC24" s="1"/>
      <c r="AD24" s="1"/>
    </row>
    <row r="25" spans="1:30" x14ac:dyDescent="0.2">
      <c r="A25" s="5" t="s">
        <v>32</v>
      </c>
      <c r="B25" s="7">
        <v>188.46</v>
      </c>
      <c r="C25" s="5">
        <v>229.53</v>
      </c>
      <c r="D25" s="11">
        <f>C25/$C$8*$D$8</f>
        <v>238.14778986676387</v>
      </c>
      <c r="E25" s="11">
        <f>C25/$C$8*$E$8</f>
        <v>242.85707176128344</v>
      </c>
      <c r="F25" s="11">
        <f>B25*F8</f>
        <v>247.00698360000001</v>
      </c>
      <c r="G25" s="11"/>
      <c r="H25" s="21">
        <v>247.01</v>
      </c>
      <c r="I25" s="21">
        <v>251.25</v>
      </c>
      <c r="J25" s="21">
        <v>252.38</v>
      </c>
      <c r="K25" s="21">
        <v>254.39</v>
      </c>
      <c r="L25" s="23">
        <f t="shared" si="4"/>
        <v>257.49458645999999</v>
      </c>
      <c r="M25" s="27">
        <f t="shared" si="21"/>
        <v>261.26321803000002</v>
      </c>
      <c r="N25" s="27">
        <f t="shared" si="19"/>
        <v>264.22239782999998</v>
      </c>
      <c r="O25" s="27">
        <f t="shared" si="5"/>
        <v>265.52883372000002</v>
      </c>
      <c r="P25" s="27">
        <f t="shared" si="20"/>
        <v>267.98386611000001</v>
      </c>
      <c r="Q25" s="27">
        <f t="shared" si="6"/>
        <v>272.51032436000003</v>
      </c>
      <c r="R25" s="27">
        <f t="shared" si="7"/>
        <v>272.25713911000003</v>
      </c>
      <c r="S25" s="27">
        <f t="shared" si="8"/>
        <v>274.43527329</v>
      </c>
      <c r="T25" s="27">
        <f t="shared" si="9"/>
        <v>275.25213536000001</v>
      </c>
      <c r="U25" s="27">
        <f t="shared" si="10"/>
        <v>280.13502904000001</v>
      </c>
      <c r="V25" s="27">
        <f t="shared" si="11"/>
        <v>280.95189110999996</v>
      </c>
      <c r="W25" s="1">
        <f t="shared" si="12"/>
        <v>285.38028638999998</v>
      </c>
      <c r="X25" s="1">
        <f t="shared" si="13"/>
        <v>286.33325096999999</v>
      </c>
      <c r="Y25" s="1">
        <f t="shared" si="14"/>
        <v>303.34482966999997</v>
      </c>
      <c r="Z25" s="34">
        <v>247.01</v>
      </c>
      <c r="AA25" s="1">
        <f t="shared" ref="AA25:AA26" si="23">Z25*$AA$4</f>
        <v>304.58679595000001</v>
      </c>
      <c r="AB25" s="1">
        <f t="shared" ref="AB25:AB26" si="24">Z25*$AB$4</f>
        <v>308.54661325999996</v>
      </c>
      <c r="AC25" s="1">
        <f t="shared" si="17"/>
        <v>312.48864585000001</v>
      </c>
      <c r="AD25" s="1">
        <f t="shared" si="18"/>
        <v>314.49412003999998</v>
      </c>
    </row>
    <row r="26" spans="1:30" ht="25.5" x14ac:dyDescent="0.2">
      <c r="A26" s="5" t="s">
        <v>5</v>
      </c>
      <c r="B26" s="7">
        <f>B25+B25/60*150</f>
        <v>659.61</v>
      </c>
      <c r="C26" s="5">
        <v>803.35</v>
      </c>
      <c r="D26" s="11">
        <f>C26/$C$8*$D$8</f>
        <v>833.51207680679988</v>
      </c>
      <c r="E26" s="11">
        <f>C26/$C$8*$E$8</f>
        <v>849.9944608522942</v>
      </c>
      <c r="F26" s="11">
        <f>B26*F8</f>
        <v>864.52444259999993</v>
      </c>
      <c r="G26" s="11"/>
      <c r="H26" s="21">
        <f>H25+H25/60*150</f>
        <v>864.53499999999997</v>
      </c>
      <c r="I26" s="21">
        <v>879.38</v>
      </c>
      <c r="J26" s="21">
        <v>883.34</v>
      </c>
      <c r="K26" s="21">
        <v>890.37</v>
      </c>
      <c r="L26" s="23">
        <f t="shared" si="4"/>
        <v>901.23105261000001</v>
      </c>
      <c r="M26" s="27">
        <f t="shared" si="21"/>
        <v>914.42126310499998</v>
      </c>
      <c r="N26" s="27">
        <f t="shared" si="19"/>
        <v>924.77839240499986</v>
      </c>
      <c r="O26" s="27">
        <f t="shared" si="5"/>
        <v>929.35091801999999</v>
      </c>
      <c r="P26" s="27">
        <f t="shared" si="20"/>
        <v>937.94353138499991</v>
      </c>
      <c r="Q26" s="27">
        <f>H26*1.103236</f>
        <v>953.78613526000004</v>
      </c>
      <c r="R26" s="27">
        <f t="shared" si="7"/>
        <v>952.89998688499998</v>
      </c>
      <c r="S26" s="27">
        <f t="shared" si="8"/>
        <v>960.52345651500002</v>
      </c>
      <c r="T26" s="27">
        <f t="shared" si="9"/>
        <v>963.38247375999993</v>
      </c>
      <c r="U26" s="27">
        <f t="shared" si="10"/>
        <v>980.47260163999999</v>
      </c>
      <c r="V26" s="27">
        <f t="shared" si="11"/>
        <v>983.3316188849999</v>
      </c>
      <c r="W26" s="1">
        <f t="shared" si="12"/>
        <v>998.8310023649999</v>
      </c>
      <c r="X26" s="1">
        <f t="shared" si="13"/>
        <v>1002.166378395</v>
      </c>
      <c r="Y26" s="1">
        <f t="shared" si="14"/>
        <v>1061.7069038449999</v>
      </c>
      <c r="Z26" s="34">
        <f>Z25+Z25/60*150</f>
        <v>864.53499999999997</v>
      </c>
      <c r="AA26" s="1">
        <f t="shared" si="23"/>
        <v>1066.053785825</v>
      </c>
      <c r="AB26" s="1">
        <f t="shared" si="24"/>
        <v>1079.9131464099999</v>
      </c>
      <c r="AC26" s="1">
        <f t="shared" si="17"/>
        <v>1093.710260475</v>
      </c>
      <c r="AD26" s="1">
        <f t="shared" si="18"/>
        <v>1100.72942014</v>
      </c>
    </row>
    <row r="27" spans="1:30" ht="19.899999999999999" customHeight="1" x14ac:dyDescent="0.2">
      <c r="A27" s="5"/>
      <c r="B27" s="7"/>
      <c r="C27" s="5"/>
      <c r="D27" s="11"/>
      <c r="E27" s="11"/>
      <c r="F27" s="11"/>
      <c r="G27" s="11"/>
      <c r="H27" s="21"/>
      <c r="I27" s="21"/>
      <c r="J27" s="21"/>
      <c r="K27" s="21"/>
      <c r="L27" s="23"/>
      <c r="M27" s="27"/>
      <c r="N27" s="27">
        <f t="shared" si="19"/>
        <v>0</v>
      </c>
      <c r="O27" s="27">
        <f t="shared" si="5"/>
        <v>0</v>
      </c>
      <c r="P27" s="27">
        <f t="shared" si="20"/>
        <v>0</v>
      </c>
      <c r="Q27" s="27">
        <f t="shared" si="6"/>
        <v>0</v>
      </c>
      <c r="R27" s="27">
        <f t="shared" si="7"/>
        <v>0</v>
      </c>
      <c r="S27" s="27">
        <f t="shared" si="8"/>
        <v>0</v>
      </c>
      <c r="T27" s="27">
        <f t="shared" si="9"/>
        <v>0</v>
      </c>
      <c r="U27" s="27">
        <f t="shared" si="10"/>
        <v>0</v>
      </c>
      <c r="V27" s="27">
        <f t="shared" si="11"/>
        <v>0</v>
      </c>
      <c r="W27" s="1"/>
      <c r="X27" s="1"/>
      <c r="Y27" s="1"/>
      <c r="Z27" s="34"/>
      <c r="AA27" s="1"/>
      <c r="AC27" s="29">
        <f t="shared" si="17"/>
        <v>0</v>
      </c>
      <c r="AD27" s="29">
        <f t="shared" si="18"/>
        <v>0</v>
      </c>
    </row>
    <row r="28" spans="1:30" ht="15" customHeight="1" x14ac:dyDescent="0.25">
      <c r="A28" s="4" t="s">
        <v>8</v>
      </c>
      <c r="B28" s="19"/>
      <c r="C28" s="4"/>
      <c r="D28" s="11"/>
      <c r="E28" s="11"/>
      <c r="H28" s="21"/>
      <c r="I28" s="21"/>
      <c r="J28" s="21"/>
      <c r="L28" s="23"/>
      <c r="M28" s="27"/>
      <c r="N28" s="27">
        <f t="shared" si="19"/>
        <v>0</v>
      </c>
      <c r="O28" s="27">
        <f t="shared" si="5"/>
        <v>0</v>
      </c>
      <c r="P28" s="27">
        <f t="shared" si="20"/>
        <v>0</v>
      </c>
      <c r="Q28" s="27">
        <f t="shared" si="6"/>
        <v>0</v>
      </c>
      <c r="R28" s="27">
        <f t="shared" si="7"/>
        <v>0</v>
      </c>
      <c r="S28" s="27">
        <f t="shared" si="8"/>
        <v>0</v>
      </c>
      <c r="T28" s="27">
        <f t="shared" si="9"/>
        <v>0</v>
      </c>
      <c r="U28" s="27">
        <f t="shared" si="10"/>
        <v>0</v>
      </c>
      <c r="V28" s="27">
        <f t="shared" si="11"/>
        <v>0</v>
      </c>
      <c r="W28" s="1"/>
      <c r="X28" s="1"/>
      <c r="Y28" s="1"/>
      <c r="Z28" s="34"/>
      <c r="AA28" s="1"/>
      <c r="AC28" s="29">
        <f t="shared" si="17"/>
        <v>0</v>
      </c>
      <c r="AD28" s="29">
        <f t="shared" si="18"/>
        <v>0</v>
      </c>
    </row>
    <row r="29" spans="1:30" ht="15" customHeight="1" x14ac:dyDescent="0.25">
      <c r="A29" s="5" t="s">
        <v>72</v>
      </c>
      <c r="B29" s="19"/>
      <c r="C29" s="4"/>
      <c r="D29" s="11"/>
      <c r="E29" s="11"/>
      <c r="H29" s="21"/>
      <c r="I29" s="21"/>
      <c r="J29" s="21"/>
      <c r="L29" s="23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1"/>
      <c r="X29" s="1"/>
      <c r="Y29" s="1"/>
      <c r="Z29" s="34">
        <v>338.54</v>
      </c>
      <c r="AA29" s="1">
        <v>417.45</v>
      </c>
      <c r="AB29">
        <v>422.88</v>
      </c>
      <c r="AC29" s="1">
        <f t="shared" si="17"/>
        <v>428.28187590000005</v>
      </c>
      <c r="AD29" s="1">
        <f t="shared" si="18"/>
        <v>431.03048216000002</v>
      </c>
    </row>
    <row r="30" spans="1:30" x14ac:dyDescent="0.2">
      <c r="A30" s="7" t="s">
        <v>9</v>
      </c>
      <c r="B30" s="7">
        <v>316.18</v>
      </c>
      <c r="C30" s="5">
        <v>385.08</v>
      </c>
      <c r="D30" s="11">
        <f t="shared" si="0"/>
        <v>399.53797290939497</v>
      </c>
      <c r="E30" s="11">
        <f t="shared" si="2"/>
        <v>407.43868424099259</v>
      </c>
      <c r="F30" s="11">
        <f>B30*F8</f>
        <v>414.40447879999999</v>
      </c>
      <c r="H30" s="21">
        <v>414.4</v>
      </c>
      <c r="I30" s="21">
        <v>421.51</v>
      </c>
      <c r="J30" s="21">
        <v>423.41</v>
      </c>
      <c r="K30" s="21">
        <v>426.78</v>
      </c>
      <c r="L30" s="23">
        <f t="shared" si="4"/>
        <v>431.98962239999997</v>
      </c>
      <c r="M30" s="27">
        <f t="shared" si="21"/>
        <v>438.31212319999997</v>
      </c>
      <c r="N30" s="27">
        <f t="shared" si="19"/>
        <v>443.27663519999993</v>
      </c>
      <c r="O30" s="27">
        <f t="shared" si="5"/>
        <v>445.46839679999999</v>
      </c>
      <c r="P30" s="27">
        <f t="shared" si="20"/>
        <v>449.58711839999995</v>
      </c>
      <c r="Q30" s="27">
        <f t="shared" si="6"/>
        <v>457.18099840000002</v>
      </c>
      <c r="R30" s="27">
        <f t="shared" si="7"/>
        <v>456.75623839999997</v>
      </c>
      <c r="S30" s="27">
        <f t="shared" si="8"/>
        <v>460.41041760000002</v>
      </c>
      <c r="T30" s="27">
        <f t="shared" si="9"/>
        <v>461.78083839999999</v>
      </c>
      <c r="U30" s="27">
        <f t="shared" si="10"/>
        <v>469.97269759999995</v>
      </c>
      <c r="V30" s="27">
        <f t="shared" si="11"/>
        <v>471.34311839999998</v>
      </c>
      <c r="W30" s="1">
        <f t="shared" si="12"/>
        <v>478.77248159999994</v>
      </c>
      <c r="X30" s="1">
        <f t="shared" si="13"/>
        <v>480.37123679999996</v>
      </c>
      <c r="Y30" s="1">
        <f t="shared" si="14"/>
        <v>508.91096479999999</v>
      </c>
      <c r="Z30" s="34">
        <v>414.4</v>
      </c>
      <c r="AA30" s="1">
        <f t="shared" ref="AA30" si="25">Z30*$AA$4</f>
        <v>510.99456800000002</v>
      </c>
      <c r="AB30" s="1">
        <f t="shared" ref="AB30" si="26">Z30*$AB$4</f>
        <v>517.63781439999991</v>
      </c>
      <c r="AC30" s="1">
        <f t="shared" si="17"/>
        <v>524.25122399999998</v>
      </c>
      <c r="AD30" s="1">
        <f t="shared" si="18"/>
        <v>527.61573759999999</v>
      </c>
    </row>
    <row r="31" spans="1:30" ht="12.75" customHeight="1" x14ac:dyDescent="0.2">
      <c r="A31" s="7" t="s">
        <v>10</v>
      </c>
      <c r="B31" s="7"/>
      <c r="C31" s="7"/>
      <c r="D31" s="11"/>
      <c r="E31" s="11"/>
      <c r="H31" s="21"/>
      <c r="I31" s="21"/>
      <c r="J31" s="21"/>
      <c r="L31" s="23"/>
      <c r="M31" s="27"/>
      <c r="N31" s="27">
        <f t="shared" si="19"/>
        <v>0</v>
      </c>
      <c r="O31" s="27">
        <f t="shared" si="5"/>
        <v>0</v>
      </c>
      <c r="P31" s="27">
        <f t="shared" si="20"/>
        <v>0</v>
      </c>
      <c r="Q31" s="27">
        <f t="shared" si="6"/>
        <v>0</v>
      </c>
      <c r="R31" s="27">
        <f t="shared" si="7"/>
        <v>0</v>
      </c>
      <c r="S31" s="27">
        <f t="shared" si="8"/>
        <v>0</v>
      </c>
      <c r="T31" s="27">
        <f t="shared" si="9"/>
        <v>0</v>
      </c>
      <c r="U31" s="27">
        <f t="shared" si="10"/>
        <v>0</v>
      </c>
      <c r="V31" s="27">
        <f t="shared" si="11"/>
        <v>0</v>
      </c>
      <c r="W31" s="1"/>
      <c r="X31" s="1"/>
      <c r="Y31" s="1"/>
      <c r="Z31" s="34"/>
      <c r="AA31" s="1"/>
      <c r="AC31" s="1"/>
      <c r="AD31" s="1"/>
    </row>
    <row r="32" spans="1:30" x14ac:dyDescent="0.2">
      <c r="A32" s="5" t="s">
        <v>11</v>
      </c>
      <c r="B32" s="18">
        <f>B30/60*100</f>
        <v>526.9666666666667</v>
      </c>
      <c r="C32" s="5">
        <v>641.79999999999995</v>
      </c>
      <c r="D32" s="11">
        <f t="shared" si="0"/>
        <v>665.89662151565835</v>
      </c>
      <c r="E32" s="11">
        <f t="shared" si="2"/>
        <v>679.06447373498759</v>
      </c>
      <c r="F32" s="11">
        <f>B32*F8</f>
        <v>690.67413133333332</v>
      </c>
      <c r="H32" s="21">
        <f>H30/60*100</f>
        <v>690.66666666666663</v>
      </c>
      <c r="I32" s="21">
        <v>702.52</v>
      </c>
      <c r="J32" s="21">
        <v>705.69</v>
      </c>
      <c r="K32" s="21">
        <v>711.31</v>
      </c>
      <c r="L32" s="23">
        <f t="shared" si="4"/>
        <v>719.98270400000001</v>
      </c>
      <c r="M32" s="27">
        <f t="shared" si="21"/>
        <v>730.52020533333337</v>
      </c>
      <c r="N32" s="27">
        <f t="shared" si="19"/>
        <v>738.7943919999999</v>
      </c>
      <c r="O32" s="27">
        <f t="shared" si="5"/>
        <v>742.44732799999997</v>
      </c>
      <c r="P32" s="27">
        <f t="shared" si="20"/>
        <v>749.3118639999999</v>
      </c>
      <c r="Q32" s="27">
        <f>H32*1.103236</f>
        <v>761.9683306666667</v>
      </c>
      <c r="R32" s="27">
        <f t="shared" si="7"/>
        <v>761.26039733333334</v>
      </c>
      <c r="S32" s="27">
        <f t="shared" si="8"/>
        <v>767.35069599999997</v>
      </c>
      <c r="T32" s="27">
        <f t="shared" si="9"/>
        <v>769.63473066666666</v>
      </c>
      <c r="U32" s="27">
        <f t="shared" si="10"/>
        <v>783.28782933333332</v>
      </c>
      <c r="V32" s="27">
        <f t="shared" si="11"/>
        <v>785.57186399999989</v>
      </c>
      <c r="W32" s="1">
        <f t="shared" si="12"/>
        <v>797.95413599999983</v>
      </c>
      <c r="X32" s="1">
        <f t="shared" si="13"/>
        <v>800.61872800000003</v>
      </c>
      <c r="Y32" s="1">
        <f t="shared" si="14"/>
        <v>848.18494133333331</v>
      </c>
      <c r="Z32" s="34">
        <f>Z30/60*100</f>
        <v>690.66666666666663</v>
      </c>
      <c r="AA32" s="1">
        <f t="shared" ref="AA32:AA33" si="27">Z32*$AA$4</f>
        <v>851.6576133333333</v>
      </c>
      <c r="AB32" s="1">
        <f t="shared" ref="AB32:AB33" si="28">Z32*$AB$4</f>
        <v>862.72969066666656</v>
      </c>
      <c r="AC32" s="1">
        <f t="shared" si="17"/>
        <v>873.75203999999997</v>
      </c>
      <c r="AD32" s="1">
        <f t="shared" si="18"/>
        <v>879.35956266666665</v>
      </c>
    </row>
    <row r="33" spans="1:30" x14ac:dyDescent="0.2">
      <c r="A33" s="5" t="s">
        <v>12</v>
      </c>
      <c r="B33" s="18">
        <f>B30/60*40</f>
        <v>210.78666666666666</v>
      </c>
      <c r="C33" s="5">
        <v>256.72000000000003</v>
      </c>
      <c r="D33" s="11">
        <f t="shared" si="0"/>
        <v>266.35864860626339</v>
      </c>
      <c r="E33" s="11">
        <f t="shared" si="2"/>
        <v>271.62578949399511</v>
      </c>
      <c r="F33" s="11">
        <f>B33*F8</f>
        <v>276.26965253333333</v>
      </c>
      <c r="H33" s="21">
        <f>H30/60*40</f>
        <v>276.26666666666665</v>
      </c>
      <c r="I33" s="21">
        <v>281.01</v>
      </c>
      <c r="J33" s="21">
        <v>282.27999999999997</v>
      </c>
      <c r="K33">
        <v>284.52999999999997</v>
      </c>
      <c r="L33" s="23">
        <f t="shared" si="4"/>
        <v>287.99308159999998</v>
      </c>
      <c r="M33" s="27">
        <f t="shared" si="21"/>
        <v>292.20808213333333</v>
      </c>
      <c r="N33" s="27">
        <f t="shared" si="19"/>
        <v>295.51775679999997</v>
      </c>
      <c r="O33" s="27">
        <f t="shared" si="5"/>
        <v>296.97893119999998</v>
      </c>
      <c r="P33" s="27">
        <f t="shared" si="20"/>
        <v>299.72474559999995</v>
      </c>
      <c r="Q33" s="27">
        <f t="shared" si="6"/>
        <v>304.78733226666668</v>
      </c>
      <c r="R33" s="27">
        <f t="shared" si="7"/>
        <v>304.50415893333331</v>
      </c>
      <c r="S33" s="27">
        <f t="shared" si="8"/>
        <v>306.94027840000001</v>
      </c>
      <c r="T33" s="27">
        <f t="shared" si="9"/>
        <v>307.85389226666666</v>
      </c>
      <c r="U33" s="27">
        <f t="shared" si="10"/>
        <v>313.31513173333332</v>
      </c>
      <c r="V33" s="27">
        <f t="shared" si="11"/>
        <v>314.22874559999997</v>
      </c>
      <c r="W33" s="1">
        <f t="shared" si="12"/>
        <v>319.18165439999996</v>
      </c>
      <c r="X33" s="1">
        <f t="shared" si="13"/>
        <v>320.24749120000001</v>
      </c>
      <c r="Y33" s="1">
        <f t="shared" si="14"/>
        <v>339.27397653333333</v>
      </c>
      <c r="Z33" s="34">
        <f>Z30/60*40</f>
        <v>276.26666666666665</v>
      </c>
      <c r="AA33" s="1">
        <f t="shared" si="27"/>
        <v>340.66304533333334</v>
      </c>
      <c r="AB33" s="1">
        <f t="shared" si="28"/>
        <v>345.09187626666665</v>
      </c>
      <c r="AC33" s="1">
        <f t="shared" si="17"/>
        <v>349.50081599999999</v>
      </c>
      <c r="AD33" s="1">
        <f t="shared" si="18"/>
        <v>351.74382506666666</v>
      </c>
    </row>
    <row r="34" spans="1:30" ht="12.75" customHeight="1" x14ac:dyDescent="0.2">
      <c r="A34" s="7" t="s">
        <v>13</v>
      </c>
      <c r="B34" s="7"/>
      <c r="C34" s="7"/>
      <c r="D34" s="11"/>
      <c r="E34" s="11"/>
      <c r="H34" s="21"/>
      <c r="I34" s="21"/>
      <c r="J34" s="21"/>
      <c r="L34" s="23"/>
      <c r="M34" s="27"/>
      <c r="N34" s="27">
        <f t="shared" si="19"/>
        <v>0</v>
      </c>
      <c r="O34" s="27">
        <f t="shared" si="5"/>
        <v>0</v>
      </c>
      <c r="P34" s="27">
        <f t="shared" si="20"/>
        <v>0</v>
      </c>
      <c r="Q34" s="27">
        <f t="shared" si="6"/>
        <v>0</v>
      </c>
      <c r="R34" s="27">
        <f t="shared" si="7"/>
        <v>0</v>
      </c>
      <c r="S34" s="27">
        <f t="shared" si="8"/>
        <v>0</v>
      </c>
      <c r="T34" s="27">
        <f t="shared" si="9"/>
        <v>0</v>
      </c>
      <c r="U34" s="27">
        <f t="shared" si="10"/>
        <v>0</v>
      </c>
      <c r="V34" s="27">
        <f t="shared" si="11"/>
        <v>0</v>
      </c>
      <c r="W34" s="1"/>
      <c r="X34" s="1"/>
      <c r="Y34" s="1"/>
      <c r="Z34" s="34"/>
      <c r="AA34" s="1"/>
      <c r="AC34" s="1"/>
      <c r="AD34" s="1"/>
    </row>
    <row r="35" spans="1:30" x14ac:dyDescent="0.2">
      <c r="A35" s="5" t="s">
        <v>14</v>
      </c>
      <c r="B35" s="7">
        <f>B30*3</f>
        <v>948.54</v>
      </c>
      <c r="C35" s="6">
        <v>1155.24</v>
      </c>
      <c r="D35" s="11">
        <f t="shared" si="0"/>
        <v>1198.6139187281851</v>
      </c>
      <c r="E35" s="11">
        <f t="shared" si="2"/>
        <v>1222.3160527229779</v>
      </c>
      <c r="F35" s="11">
        <f>B35*F8</f>
        <v>1243.2134363999999</v>
      </c>
      <c r="H35" s="21">
        <f>H30*3</f>
        <v>1243.1999999999998</v>
      </c>
      <c r="I35" s="21">
        <v>1264.54</v>
      </c>
      <c r="J35" s="21">
        <v>1270.23</v>
      </c>
      <c r="K35" s="1">
        <v>1280.3499999999999</v>
      </c>
      <c r="L35" s="23">
        <f t="shared" si="4"/>
        <v>1295.9688671999997</v>
      </c>
      <c r="M35" s="27">
        <f t="shared" si="21"/>
        <v>1314.9363695999998</v>
      </c>
      <c r="N35" s="27">
        <f t="shared" si="19"/>
        <v>1329.8299055999996</v>
      </c>
      <c r="O35" s="27">
        <f t="shared" si="5"/>
        <v>1336.4051903999998</v>
      </c>
      <c r="P35" s="27">
        <f t="shared" si="20"/>
        <v>1348.7613551999998</v>
      </c>
      <c r="Q35" s="27">
        <f t="shared" si="6"/>
        <v>1371.5429952</v>
      </c>
      <c r="R35" s="27">
        <f t="shared" si="7"/>
        <v>1370.2687151999999</v>
      </c>
      <c r="S35" s="27">
        <f t="shared" si="8"/>
        <v>1381.2312527999998</v>
      </c>
      <c r="T35" s="27">
        <f t="shared" si="9"/>
        <v>1385.3425151999998</v>
      </c>
      <c r="U35" s="27">
        <f t="shared" si="10"/>
        <v>1409.9180927999998</v>
      </c>
      <c r="V35" s="27">
        <f t="shared" si="11"/>
        <v>1414.0293551999998</v>
      </c>
      <c r="W35" s="1">
        <f t="shared" si="12"/>
        <v>1436.3174447999997</v>
      </c>
      <c r="X35" s="1">
        <f t="shared" si="13"/>
        <v>1441.1137103999997</v>
      </c>
      <c r="Y35" s="1">
        <f t="shared" si="14"/>
        <v>1526.7328943999999</v>
      </c>
      <c r="Z35" s="34">
        <f>Z30*3</f>
        <v>1243.1999999999998</v>
      </c>
      <c r="AA35" s="1">
        <f t="shared" ref="AA35:AA37" si="29">Z35*$AA$4</f>
        <v>1532.9837039999998</v>
      </c>
      <c r="AB35" s="1">
        <f t="shared" ref="AB35:AB37" si="30">Z35*$AB$4</f>
        <v>1552.9134431999996</v>
      </c>
      <c r="AC35" s="1">
        <f t="shared" si="17"/>
        <v>1572.7536719999998</v>
      </c>
      <c r="AD35" s="1">
        <f t="shared" si="18"/>
        <v>1582.8472127999999</v>
      </c>
    </row>
    <row r="36" spans="1:30" x14ac:dyDescent="0.2">
      <c r="A36" s="5" t="s">
        <v>15</v>
      </c>
      <c r="B36" s="7">
        <f>B30/2</f>
        <v>158.09</v>
      </c>
      <c r="C36" s="5">
        <v>192.54</v>
      </c>
      <c r="D36" s="11">
        <f t="shared" si="0"/>
        <v>199.76898645469748</v>
      </c>
      <c r="E36" s="11">
        <f t="shared" si="2"/>
        <v>203.71934212049629</v>
      </c>
      <c r="F36" s="11">
        <f>B36*F8</f>
        <v>207.2022394</v>
      </c>
      <c r="H36" s="21">
        <f>H30/2</f>
        <v>207.2</v>
      </c>
      <c r="I36" s="21">
        <v>210.76</v>
      </c>
      <c r="J36" s="21">
        <v>211.71</v>
      </c>
      <c r="K36">
        <v>213.39</v>
      </c>
      <c r="L36" s="23">
        <f t="shared" si="4"/>
        <v>215.99481119999999</v>
      </c>
      <c r="M36" s="27">
        <f t="shared" si="21"/>
        <v>219.15606159999999</v>
      </c>
      <c r="N36" s="27">
        <f t="shared" si="19"/>
        <v>221.63831759999997</v>
      </c>
      <c r="O36" s="27">
        <f t="shared" si="5"/>
        <v>222.7341984</v>
      </c>
      <c r="P36" s="27">
        <f t="shared" si="20"/>
        <v>224.79355919999998</v>
      </c>
      <c r="Q36" s="27">
        <f>H36*1.103236</f>
        <v>228.59049920000001</v>
      </c>
      <c r="R36" s="27">
        <f t="shared" si="7"/>
        <v>228.37811919999999</v>
      </c>
      <c r="S36" s="27">
        <f t="shared" si="8"/>
        <v>230.20520880000001</v>
      </c>
      <c r="T36" s="27">
        <f t="shared" si="9"/>
        <v>230.8904192</v>
      </c>
      <c r="U36" s="27">
        <f t="shared" si="10"/>
        <v>234.98634879999997</v>
      </c>
      <c r="V36" s="27">
        <f t="shared" si="11"/>
        <v>235.67155919999999</v>
      </c>
      <c r="W36" s="1">
        <f t="shared" si="12"/>
        <v>239.38624079999997</v>
      </c>
      <c r="X36" s="1">
        <f t="shared" si="13"/>
        <v>240.18561839999998</v>
      </c>
      <c r="Y36" s="1">
        <f t="shared" si="14"/>
        <v>254.45548239999999</v>
      </c>
      <c r="Z36" s="34">
        <f>Z30/2</f>
        <v>207.2</v>
      </c>
      <c r="AA36" s="1">
        <f t="shared" si="29"/>
        <v>255.49728400000001</v>
      </c>
      <c r="AB36" s="1">
        <f t="shared" si="30"/>
        <v>258.81890719999996</v>
      </c>
      <c r="AC36" s="1">
        <f t="shared" si="17"/>
        <v>262.12561199999999</v>
      </c>
      <c r="AD36" s="1">
        <f t="shared" si="18"/>
        <v>263.80786879999999</v>
      </c>
    </row>
    <row r="37" spans="1:30" x14ac:dyDescent="0.2">
      <c r="A37" s="5" t="s">
        <v>16</v>
      </c>
      <c r="B37" s="18">
        <f>B30/60*10</f>
        <v>52.696666666666665</v>
      </c>
      <c r="C37" s="5">
        <v>64.180000000000007</v>
      </c>
      <c r="D37" s="11">
        <f t="shared" si="0"/>
        <v>66.589662151565847</v>
      </c>
      <c r="E37" s="11">
        <f t="shared" si="2"/>
        <v>67.906447373498779</v>
      </c>
      <c r="F37" s="11">
        <f>B37*F8</f>
        <v>69.067413133333332</v>
      </c>
      <c r="H37" s="21">
        <f>H30/60*10</f>
        <v>69.066666666666663</v>
      </c>
      <c r="I37" s="21">
        <v>70.25</v>
      </c>
      <c r="J37" s="21">
        <v>70.569999999999993</v>
      </c>
      <c r="K37">
        <v>71.13</v>
      </c>
      <c r="L37" s="23">
        <f t="shared" si="4"/>
        <v>71.998270399999996</v>
      </c>
      <c r="M37" s="27">
        <f t="shared" si="21"/>
        <v>73.052020533333334</v>
      </c>
      <c r="N37" s="27">
        <f t="shared" si="19"/>
        <v>73.879439199999993</v>
      </c>
      <c r="O37" s="27">
        <f t="shared" si="5"/>
        <v>74.244732799999994</v>
      </c>
      <c r="P37" s="27">
        <f t="shared" si="20"/>
        <v>74.931186399999987</v>
      </c>
      <c r="Q37" s="27">
        <f t="shared" si="6"/>
        <v>76.19683306666667</v>
      </c>
      <c r="R37" s="27">
        <f t="shared" si="7"/>
        <v>76.126039733333329</v>
      </c>
      <c r="S37" s="27">
        <f t="shared" si="8"/>
        <v>76.735069600000003</v>
      </c>
      <c r="T37" s="27">
        <f t="shared" si="9"/>
        <v>76.963473066666666</v>
      </c>
      <c r="U37" s="27">
        <f t="shared" si="10"/>
        <v>78.328782933333329</v>
      </c>
      <c r="V37" s="27">
        <f t="shared" si="11"/>
        <v>78.557186399999992</v>
      </c>
      <c r="W37" s="1">
        <f t="shared" si="12"/>
        <v>79.795413599999989</v>
      </c>
      <c r="X37" s="1">
        <f t="shared" si="13"/>
        <v>80.061872800000003</v>
      </c>
      <c r="Y37" s="1">
        <f t="shared" si="14"/>
        <v>84.818494133333331</v>
      </c>
      <c r="Z37" s="34">
        <f>Z30/60*10</f>
        <v>69.066666666666663</v>
      </c>
      <c r="AA37" s="1">
        <f t="shared" si="29"/>
        <v>85.165761333333336</v>
      </c>
      <c r="AB37" s="1">
        <f t="shared" si="30"/>
        <v>86.272969066666661</v>
      </c>
      <c r="AC37" s="1">
        <f t="shared" si="17"/>
        <v>87.375203999999997</v>
      </c>
      <c r="AD37" s="1">
        <f t="shared" si="18"/>
        <v>87.935956266666665</v>
      </c>
    </row>
    <row r="38" spans="1:30" ht="12.75" customHeight="1" x14ac:dyDescent="0.2">
      <c r="A38" s="7" t="s">
        <v>17</v>
      </c>
      <c r="B38" s="7"/>
      <c r="C38" s="7"/>
      <c r="D38" s="11"/>
      <c r="E38" s="11"/>
      <c r="F38" s="11"/>
      <c r="H38" s="21"/>
      <c r="I38" s="21"/>
      <c r="J38" s="21"/>
      <c r="L38" s="23"/>
      <c r="M38" s="27"/>
      <c r="N38" s="27">
        <f t="shared" si="19"/>
        <v>0</v>
      </c>
      <c r="O38" s="27">
        <f t="shared" si="5"/>
        <v>0</v>
      </c>
      <c r="P38" s="27">
        <f t="shared" si="20"/>
        <v>0</v>
      </c>
      <c r="Q38" s="27">
        <f t="shared" si="6"/>
        <v>0</v>
      </c>
      <c r="R38" s="27">
        <f t="shared" si="7"/>
        <v>0</v>
      </c>
      <c r="S38" s="27">
        <f t="shared" si="8"/>
        <v>0</v>
      </c>
      <c r="T38" s="27">
        <f t="shared" si="9"/>
        <v>0</v>
      </c>
      <c r="U38" s="27">
        <f t="shared" si="10"/>
        <v>0</v>
      </c>
      <c r="V38" s="27">
        <f t="shared" si="11"/>
        <v>0</v>
      </c>
      <c r="W38" s="1"/>
      <c r="X38" s="1"/>
      <c r="Y38" s="1"/>
      <c r="Z38" s="34"/>
      <c r="AA38" s="1"/>
      <c r="AC38" s="1"/>
      <c r="AD38" s="1"/>
    </row>
    <row r="39" spans="1:30" x14ac:dyDescent="0.2">
      <c r="A39" s="5" t="s">
        <v>18</v>
      </c>
      <c r="B39" s="18">
        <f>B30/60*40</f>
        <v>210.78666666666666</v>
      </c>
      <c r="C39" s="5">
        <v>256.72000000000003</v>
      </c>
      <c r="D39" s="11">
        <f t="shared" si="0"/>
        <v>266.35864860626339</v>
      </c>
      <c r="E39" s="11">
        <f t="shared" si="2"/>
        <v>271.62578949399511</v>
      </c>
      <c r="F39" s="11">
        <f>B39*F8</f>
        <v>276.26965253333333</v>
      </c>
      <c r="H39" s="21">
        <f>H30/60*40</f>
        <v>276.26666666666665</v>
      </c>
      <c r="I39" s="21">
        <v>281.01</v>
      </c>
      <c r="J39" s="21">
        <v>282.27999999999997</v>
      </c>
      <c r="K39">
        <v>284.52999999999997</v>
      </c>
      <c r="L39" s="23">
        <f t="shared" si="4"/>
        <v>287.99308159999998</v>
      </c>
      <c r="M39" s="27">
        <f t="shared" si="21"/>
        <v>292.20808213333333</v>
      </c>
      <c r="N39" s="27">
        <f t="shared" si="19"/>
        <v>295.51775679999997</v>
      </c>
      <c r="O39" s="27">
        <f t="shared" si="5"/>
        <v>296.97893119999998</v>
      </c>
      <c r="P39" s="27">
        <f t="shared" si="20"/>
        <v>299.72474559999995</v>
      </c>
      <c r="Q39" s="27">
        <f t="shared" si="6"/>
        <v>304.78733226666668</v>
      </c>
      <c r="R39" s="27">
        <f t="shared" si="7"/>
        <v>304.50415893333331</v>
      </c>
      <c r="S39" s="27">
        <f t="shared" si="8"/>
        <v>306.94027840000001</v>
      </c>
      <c r="T39" s="27">
        <f t="shared" si="9"/>
        <v>307.85389226666666</v>
      </c>
      <c r="U39" s="27">
        <f t="shared" si="10"/>
        <v>313.31513173333332</v>
      </c>
      <c r="V39" s="27">
        <f t="shared" si="11"/>
        <v>314.22874559999997</v>
      </c>
      <c r="W39" s="1">
        <f t="shared" si="12"/>
        <v>319.18165439999996</v>
      </c>
      <c r="X39" s="1">
        <f t="shared" si="13"/>
        <v>320.24749120000001</v>
      </c>
      <c r="Y39" s="1">
        <f t="shared" si="14"/>
        <v>339.27397653333333</v>
      </c>
      <c r="Z39" s="34">
        <f>Z30/60*40</f>
        <v>276.26666666666665</v>
      </c>
      <c r="AA39" s="1">
        <f t="shared" ref="AA39" si="31">Z39*$AA$4</f>
        <v>340.66304533333334</v>
      </c>
      <c r="AB39" s="1">
        <f t="shared" ref="AB39" si="32">Z39*$AB$4</f>
        <v>345.09187626666665</v>
      </c>
      <c r="AC39" s="1">
        <f t="shared" si="17"/>
        <v>349.50081599999999</v>
      </c>
      <c r="AD39" s="1">
        <f t="shared" si="18"/>
        <v>351.74382506666666</v>
      </c>
    </row>
    <row r="40" spans="1:30" ht="12.75" customHeight="1" x14ac:dyDescent="0.2">
      <c r="A40" s="7" t="s">
        <v>19</v>
      </c>
      <c r="B40" s="7"/>
      <c r="C40" s="7"/>
      <c r="D40" s="11"/>
      <c r="E40" s="11"/>
      <c r="F40" s="11"/>
      <c r="H40" s="21"/>
      <c r="I40" s="21"/>
      <c r="J40" s="21"/>
      <c r="L40" s="23"/>
      <c r="M40" s="27"/>
      <c r="N40" s="27">
        <f t="shared" si="19"/>
        <v>0</v>
      </c>
      <c r="O40" s="27">
        <f t="shared" si="5"/>
        <v>0</v>
      </c>
      <c r="P40" s="27">
        <f t="shared" si="20"/>
        <v>0</v>
      </c>
      <c r="Q40" s="27">
        <f t="shared" si="6"/>
        <v>0</v>
      </c>
      <c r="R40" s="27">
        <f t="shared" si="7"/>
        <v>0</v>
      </c>
      <c r="S40" s="27">
        <f t="shared" si="8"/>
        <v>0</v>
      </c>
      <c r="T40" s="27">
        <f t="shared" si="9"/>
        <v>0</v>
      </c>
      <c r="U40" s="27">
        <f t="shared" si="10"/>
        <v>0</v>
      </c>
      <c r="V40" s="27">
        <f t="shared" si="11"/>
        <v>0</v>
      </c>
      <c r="W40" s="1"/>
      <c r="X40" s="1"/>
      <c r="Y40" s="1"/>
      <c r="Z40" s="34"/>
      <c r="AA40" s="1"/>
      <c r="AC40" s="1"/>
      <c r="AD40" s="1"/>
    </row>
    <row r="41" spans="1:30" x14ac:dyDescent="0.2">
      <c r="A41" s="5" t="s">
        <v>34</v>
      </c>
      <c r="B41" s="7">
        <f>B30*4</f>
        <v>1264.72</v>
      </c>
      <c r="C41" s="6">
        <v>1540.32</v>
      </c>
      <c r="D41" s="11">
        <f t="shared" si="0"/>
        <v>1598.1518916375799</v>
      </c>
      <c r="E41" s="11">
        <f t="shared" si="2"/>
        <v>1629.7547369639703</v>
      </c>
      <c r="F41" s="11">
        <f>B41*F8</f>
        <v>1657.6179152</v>
      </c>
      <c r="H41" s="21">
        <f>H30*4</f>
        <v>1657.6</v>
      </c>
      <c r="I41" s="21">
        <v>1686.05</v>
      </c>
      <c r="J41" s="21">
        <v>1693.64</v>
      </c>
      <c r="K41" s="1">
        <v>1707.13</v>
      </c>
      <c r="L41" s="23">
        <f t="shared" si="4"/>
        <v>1727.9584895999999</v>
      </c>
      <c r="M41" s="27">
        <f t="shared" si="21"/>
        <v>1753.2484927999999</v>
      </c>
      <c r="N41" s="27">
        <f t="shared" si="19"/>
        <v>1773.1065407999997</v>
      </c>
      <c r="O41" s="27">
        <f t="shared" si="5"/>
        <v>1781.8735872</v>
      </c>
      <c r="P41" s="27">
        <f t="shared" si="20"/>
        <v>1798.3484735999998</v>
      </c>
      <c r="Q41" s="27">
        <f t="shared" si="6"/>
        <v>1828.7239936000001</v>
      </c>
      <c r="R41" s="27">
        <f t="shared" si="7"/>
        <v>1827.0249535999999</v>
      </c>
      <c r="S41" s="27">
        <f t="shared" si="8"/>
        <v>1841.6416704000001</v>
      </c>
      <c r="T41" s="27">
        <f t="shared" si="9"/>
        <v>1847.1233536</v>
      </c>
      <c r="U41" s="27">
        <f t="shared" si="10"/>
        <v>1879.8907903999998</v>
      </c>
      <c r="V41" s="27">
        <f t="shared" si="11"/>
        <v>1885.3724735999999</v>
      </c>
      <c r="W41" s="1">
        <f t="shared" si="12"/>
        <v>1915.0899263999997</v>
      </c>
      <c r="X41" s="1">
        <f t="shared" si="13"/>
        <v>1921.4849471999999</v>
      </c>
      <c r="Y41" s="1">
        <f t="shared" si="14"/>
        <v>2035.6438592</v>
      </c>
      <c r="Z41" s="34">
        <f>Z30*4</f>
        <v>1657.6</v>
      </c>
      <c r="AA41" s="1">
        <f t="shared" ref="AA41:AA42" si="33">Z41*$AA$4</f>
        <v>2043.9782720000001</v>
      </c>
      <c r="AB41" s="1">
        <f t="shared" ref="AB41:AB42" si="34">Z41*$AB$4</f>
        <v>2070.5512575999996</v>
      </c>
      <c r="AC41" s="1">
        <f t="shared" si="17"/>
        <v>2097.0048959999999</v>
      </c>
      <c r="AD41" s="1">
        <f t="shared" si="18"/>
        <v>2110.4629504</v>
      </c>
    </row>
    <row r="42" spans="1:30" x14ac:dyDescent="0.2">
      <c r="A42" s="5" t="s">
        <v>35</v>
      </c>
      <c r="B42" s="7">
        <f>B30*6</f>
        <v>1897.08</v>
      </c>
      <c r="C42" s="6">
        <v>2310.48</v>
      </c>
      <c r="D42" s="11">
        <f t="shared" si="0"/>
        <v>2397.2278374563703</v>
      </c>
      <c r="E42" s="11">
        <f t="shared" si="2"/>
        <v>2444.6321054459559</v>
      </c>
      <c r="F42" s="11">
        <f>B42*F8</f>
        <v>2486.4268727999997</v>
      </c>
      <c r="H42" s="21">
        <f>H30*6</f>
        <v>2486.3999999999996</v>
      </c>
      <c r="I42" s="21">
        <v>2529.0700000000002</v>
      </c>
      <c r="J42" s="21">
        <v>2540.4699999999998</v>
      </c>
      <c r="K42" s="1">
        <v>2560.69</v>
      </c>
      <c r="L42" s="23">
        <f t="shared" si="4"/>
        <v>2591.9377343999995</v>
      </c>
      <c r="M42" s="27">
        <f t="shared" si="21"/>
        <v>2629.8727391999996</v>
      </c>
      <c r="N42" s="27">
        <f t="shared" si="19"/>
        <v>2659.6598111999992</v>
      </c>
      <c r="O42" s="27">
        <f t="shared" si="5"/>
        <v>2672.8103807999996</v>
      </c>
      <c r="P42" s="27">
        <f t="shared" si="20"/>
        <v>2697.5227103999996</v>
      </c>
      <c r="Q42" s="27">
        <f>H42*1.103236</f>
        <v>2743.0859903999999</v>
      </c>
      <c r="R42" s="27">
        <f t="shared" si="7"/>
        <v>2740.5374303999997</v>
      </c>
      <c r="S42" s="27">
        <f t="shared" si="8"/>
        <v>2762.4625055999995</v>
      </c>
      <c r="T42" s="27">
        <f t="shared" si="9"/>
        <v>2770.6850303999995</v>
      </c>
      <c r="U42" s="27">
        <f t="shared" si="10"/>
        <v>2819.8361855999997</v>
      </c>
      <c r="V42" s="27">
        <f t="shared" si="11"/>
        <v>2828.0587103999997</v>
      </c>
      <c r="W42" s="1">
        <f t="shared" si="12"/>
        <v>2872.6348895999995</v>
      </c>
      <c r="X42" s="1">
        <f t="shared" si="13"/>
        <v>2882.2274207999994</v>
      </c>
      <c r="Y42" s="1">
        <f t="shared" si="14"/>
        <v>3053.4657887999997</v>
      </c>
      <c r="Z42" s="34">
        <f>Z30*6</f>
        <v>2486.3999999999996</v>
      </c>
      <c r="AA42" s="1">
        <f t="shared" si="33"/>
        <v>3065.9674079999995</v>
      </c>
      <c r="AB42" s="1">
        <f t="shared" si="34"/>
        <v>3105.8268863999992</v>
      </c>
      <c r="AC42" s="1">
        <f t="shared" si="17"/>
        <v>3145.5073439999996</v>
      </c>
      <c r="AD42" s="1">
        <f t="shared" si="18"/>
        <v>3165.6944255999997</v>
      </c>
    </row>
    <row r="43" spans="1:30" ht="12.75" customHeight="1" x14ac:dyDescent="0.2">
      <c r="A43" s="7" t="s">
        <v>20</v>
      </c>
      <c r="B43" s="7"/>
      <c r="C43" s="7"/>
      <c r="D43" s="11"/>
      <c r="E43" s="11"/>
      <c r="F43" s="11"/>
      <c r="H43" s="21"/>
      <c r="I43" s="21"/>
      <c r="J43" s="21"/>
      <c r="L43" s="23"/>
      <c r="M43" s="27"/>
      <c r="N43" s="27">
        <f t="shared" si="19"/>
        <v>0</v>
      </c>
      <c r="O43" s="27">
        <f t="shared" si="5"/>
        <v>0</v>
      </c>
      <c r="P43" s="27">
        <f t="shared" si="20"/>
        <v>0</v>
      </c>
      <c r="Q43" s="27">
        <f t="shared" si="6"/>
        <v>0</v>
      </c>
      <c r="R43" s="27">
        <f t="shared" si="7"/>
        <v>0</v>
      </c>
      <c r="S43" s="27">
        <f t="shared" si="8"/>
        <v>0</v>
      </c>
      <c r="T43" s="27">
        <f t="shared" si="9"/>
        <v>0</v>
      </c>
      <c r="U43" s="27">
        <f t="shared" si="10"/>
        <v>0</v>
      </c>
      <c r="V43" s="27">
        <f t="shared" si="11"/>
        <v>0</v>
      </c>
      <c r="W43" s="1"/>
      <c r="X43" s="1"/>
      <c r="Y43" s="1"/>
      <c r="Z43" s="34"/>
      <c r="AA43" s="1"/>
      <c r="AC43" s="1"/>
      <c r="AD43" s="1"/>
    </row>
    <row r="44" spans="1:30" x14ac:dyDescent="0.2">
      <c r="A44" s="5" t="s">
        <v>21</v>
      </c>
      <c r="B44" s="7">
        <f>B30*2</f>
        <v>632.36</v>
      </c>
      <c r="C44" s="5">
        <v>770.16</v>
      </c>
      <c r="D44" s="11">
        <f t="shared" si="0"/>
        <v>799.07594581878993</v>
      </c>
      <c r="E44" s="11">
        <f t="shared" si="2"/>
        <v>814.87736848198517</v>
      </c>
      <c r="F44" s="11">
        <f>B44*F8</f>
        <v>828.80895759999999</v>
      </c>
      <c r="H44" s="21">
        <f>H30*2</f>
        <v>828.8</v>
      </c>
      <c r="I44" s="21">
        <v>843.02</v>
      </c>
      <c r="J44" s="21">
        <v>846.82</v>
      </c>
      <c r="K44">
        <v>853.57</v>
      </c>
      <c r="L44" s="23">
        <f t="shared" si="4"/>
        <v>863.97924479999995</v>
      </c>
      <c r="M44" s="27">
        <f t="shared" si="21"/>
        <v>876.62424639999995</v>
      </c>
      <c r="N44" s="27">
        <f t="shared" si="19"/>
        <v>886.55327039999986</v>
      </c>
      <c r="O44" s="27">
        <f t="shared" si="5"/>
        <v>890.93679359999999</v>
      </c>
      <c r="P44" s="27">
        <f t="shared" si="20"/>
        <v>899.1742367999999</v>
      </c>
      <c r="Q44" s="27">
        <f t="shared" si="6"/>
        <v>914.36199680000004</v>
      </c>
      <c r="R44" s="27">
        <f t="shared" si="7"/>
        <v>913.51247679999994</v>
      </c>
      <c r="S44" s="27">
        <f t="shared" si="8"/>
        <v>920.82083520000003</v>
      </c>
      <c r="T44" s="27">
        <f t="shared" si="9"/>
        <v>923.56167679999999</v>
      </c>
      <c r="U44" s="27">
        <f t="shared" si="10"/>
        <v>939.94539519999989</v>
      </c>
      <c r="V44" s="27">
        <f t="shared" si="11"/>
        <v>942.68623679999996</v>
      </c>
      <c r="W44" s="1">
        <f t="shared" si="12"/>
        <v>957.54496319999987</v>
      </c>
      <c r="X44" s="1">
        <f t="shared" si="13"/>
        <v>960.74247359999993</v>
      </c>
      <c r="Y44" s="1">
        <f t="shared" si="14"/>
        <v>1017.8219296</v>
      </c>
      <c r="Z44" s="34">
        <f>Z30*2</f>
        <v>828.8</v>
      </c>
      <c r="AA44" s="1">
        <f t="shared" ref="AA44" si="35">Z44*$AA$4</f>
        <v>1021.989136</v>
      </c>
      <c r="AB44" s="1">
        <f t="shared" ref="AB44" si="36">Z44*$AB$4</f>
        <v>1035.2756287999998</v>
      </c>
      <c r="AC44" s="1">
        <f t="shared" si="17"/>
        <v>1048.502448</v>
      </c>
      <c r="AD44" s="1">
        <f t="shared" si="18"/>
        <v>1055.2314752</v>
      </c>
    </row>
    <row r="45" spans="1:30" ht="12.75" customHeight="1" x14ac:dyDescent="0.2">
      <c r="A45" s="7" t="s">
        <v>22</v>
      </c>
      <c r="B45" s="7"/>
      <c r="C45" s="7"/>
      <c r="D45" s="11"/>
      <c r="E45" s="11"/>
      <c r="F45" s="11"/>
      <c r="H45" s="21"/>
      <c r="I45" s="21"/>
      <c r="J45" s="21"/>
      <c r="L45" s="23"/>
      <c r="M45" s="27"/>
      <c r="N45" s="27">
        <f t="shared" si="19"/>
        <v>0</v>
      </c>
      <c r="O45" s="27">
        <f t="shared" si="5"/>
        <v>0</v>
      </c>
      <c r="P45" s="27">
        <f t="shared" si="20"/>
        <v>0</v>
      </c>
      <c r="Q45" s="27">
        <f t="shared" si="6"/>
        <v>0</v>
      </c>
      <c r="R45" s="27">
        <f t="shared" si="7"/>
        <v>0</v>
      </c>
      <c r="S45" s="27">
        <f t="shared" si="8"/>
        <v>0</v>
      </c>
      <c r="T45" s="27">
        <f t="shared" si="9"/>
        <v>0</v>
      </c>
      <c r="U45" s="27">
        <f t="shared" si="10"/>
        <v>0</v>
      </c>
      <c r="V45" s="27">
        <f t="shared" si="11"/>
        <v>0</v>
      </c>
      <c r="W45" s="1"/>
      <c r="X45" s="1"/>
      <c r="Y45" s="1"/>
      <c r="Z45" s="34"/>
      <c r="AA45" s="1"/>
      <c r="AC45" s="1"/>
      <c r="AD45" s="1"/>
    </row>
    <row r="46" spans="1:30" x14ac:dyDescent="0.2">
      <c r="A46" s="5" t="s">
        <v>23</v>
      </c>
      <c r="B46" s="18">
        <f>B30*5+B30/60*10</f>
        <v>1633.5966666666668</v>
      </c>
      <c r="C46" s="6">
        <v>1989.58</v>
      </c>
      <c r="D46" s="11">
        <f t="shared" si="0"/>
        <v>2064.2795266985408</v>
      </c>
      <c r="E46" s="11">
        <f t="shared" si="2"/>
        <v>2105.0998685784621</v>
      </c>
      <c r="F46" s="11">
        <f>B46*F8</f>
        <v>2141.0898071333336</v>
      </c>
      <c r="H46" s="21">
        <f>H30*5+H30/60*10</f>
        <v>2141.0666666666666</v>
      </c>
      <c r="I46" s="21">
        <v>2177.81</v>
      </c>
      <c r="J46" s="21">
        <v>2187.63</v>
      </c>
      <c r="K46" s="1">
        <v>2205.0500000000002</v>
      </c>
      <c r="L46" s="23">
        <f t="shared" si="4"/>
        <v>2231.9463823999999</v>
      </c>
      <c r="M46" s="27">
        <f t="shared" si="21"/>
        <v>2264.6126365333334</v>
      </c>
      <c r="N46" s="27">
        <f t="shared" si="19"/>
        <v>2290.2626151999998</v>
      </c>
      <c r="O46" s="27">
        <f t="shared" si="5"/>
        <v>2301.5867168</v>
      </c>
      <c r="P46" s="27">
        <f t="shared" si="20"/>
        <v>2322.8667783999999</v>
      </c>
      <c r="Q46" s="27">
        <f t="shared" si="6"/>
        <v>2362.1018250666666</v>
      </c>
      <c r="R46" s="27">
        <f t="shared" si="7"/>
        <v>2359.9072317333334</v>
      </c>
      <c r="S46" s="27">
        <f t="shared" si="8"/>
        <v>2378.7871576000002</v>
      </c>
      <c r="T46" s="27">
        <f t="shared" si="9"/>
        <v>2385.8676650666666</v>
      </c>
      <c r="U46" s="27">
        <f t="shared" si="10"/>
        <v>2428.1922709333335</v>
      </c>
      <c r="V46" s="27">
        <f t="shared" si="11"/>
        <v>2435.2727783999999</v>
      </c>
      <c r="W46" s="1">
        <f t="shared" si="12"/>
        <v>2473.6578215999998</v>
      </c>
      <c r="X46" s="1">
        <f t="shared" si="13"/>
        <v>2481.9180568000002</v>
      </c>
      <c r="Y46" s="1">
        <f t="shared" si="14"/>
        <v>2629.3733181333332</v>
      </c>
      <c r="Z46" s="34">
        <f>Z30*5+Z30/60*10</f>
        <v>2141.0666666666666</v>
      </c>
      <c r="AA46" s="1">
        <f t="shared" ref="AA46" si="37">Z46*$AA$4</f>
        <v>2640.1386013333336</v>
      </c>
      <c r="AB46" s="1">
        <f t="shared" ref="AB46" si="38">Z46*$AB$4</f>
        <v>2674.4620410666666</v>
      </c>
      <c r="AC46" s="1">
        <f t="shared" si="17"/>
        <v>2708.6313239999999</v>
      </c>
      <c r="AD46" s="1">
        <f t="shared" si="18"/>
        <v>2726.0146442666664</v>
      </c>
    </row>
    <row r="47" spans="1:30" ht="12.75" customHeight="1" x14ac:dyDescent="0.2">
      <c r="A47" s="7" t="s">
        <v>24</v>
      </c>
      <c r="B47" s="7"/>
      <c r="C47" s="7"/>
      <c r="D47" s="11"/>
      <c r="E47" s="11"/>
      <c r="F47" s="11"/>
      <c r="H47" s="21"/>
      <c r="I47" s="21"/>
      <c r="J47" s="21"/>
      <c r="L47" s="23"/>
      <c r="M47" s="27"/>
      <c r="N47" s="27">
        <f t="shared" si="19"/>
        <v>0</v>
      </c>
      <c r="O47" s="27">
        <f t="shared" si="5"/>
        <v>0</v>
      </c>
      <c r="P47" s="27">
        <f t="shared" si="20"/>
        <v>0</v>
      </c>
      <c r="Q47" s="27">
        <f>H47*1.103236</f>
        <v>0</v>
      </c>
      <c r="R47" s="27">
        <f t="shared" si="7"/>
        <v>0</v>
      </c>
      <c r="S47" s="27">
        <f t="shared" si="8"/>
        <v>0</v>
      </c>
      <c r="T47" s="27">
        <f t="shared" si="9"/>
        <v>0</v>
      </c>
      <c r="U47" s="27">
        <f t="shared" si="10"/>
        <v>0</v>
      </c>
      <c r="V47" s="27">
        <f t="shared" si="11"/>
        <v>0</v>
      </c>
      <c r="W47" s="1"/>
      <c r="X47" s="1"/>
      <c r="Y47" s="1"/>
      <c r="Z47" s="34"/>
      <c r="AA47" s="1"/>
      <c r="AC47" s="1"/>
      <c r="AD47" s="1"/>
    </row>
    <row r="48" spans="1:30" x14ac:dyDescent="0.2">
      <c r="A48" s="5" t="s">
        <v>25</v>
      </c>
      <c r="B48" s="7">
        <f>B30*16</f>
        <v>5058.88</v>
      </c>
      <c r="C48" s="6">
        <v>6161.28</v>
      </c>
      <c r="D48" s="11">
        <f t="shared" si="0"/>
        <v>6392.6075665503195</v>
      </c>
      <c r="E48" s="11">
        <f t="shared" si="2"/>
        <v>6519.0189478558814</v>
      </c>
      <c r="F48" s="11">
        <f>B48*F8</f>
        <v>6630.4716607999999</v>
      </c>
      <c r="H48" s="21">
        <f>H30*16</f>
        <v>6630.4</v>
      </c>
      <c r="I48" s="21">
        <v>6744.19</v>
      </c>
      <c r="J48" s="21">
        <v>6774.58</v>
      </c>
      <c r="K48" s="1">
        <v>6828.53</v>
      </c>
      <c r="L48" s="23">
        <f t="shared" si="4"/>
        <v>6911.8339583999996</v>
      </c>
      <c r="M48" s="27">
        <f t="shared" si="21"/>
        <v>7012.9939711999996</v>
      </c>
      <c r="N48" s="27">
        <f t="shared" si="19"/>
        <v>7092.4261631999989</v>
      </c>
      <c r="O48" s="27">
        <f t="shared" si="5"/>
        <v>7127.4943487999999</v>
      </c>
      <c r="P48" s="27">
        <f t="shared" si="20"/>
        <v>7193.3938943999992</v>
      </c>
      <c r="Q48" s="27">
        <f t="shared" si="6"/>
        <v>7314.8959744000003</v>
      </c>
      <c r="R48" s="27">
        <f t="shared" si="7"/>
        <v>7308.0998143999996</v>
      </c>
      <c r="S48" s="27">
        <f t="shared" si="8"/>
        <v>7366.5666816000003</v>
      </c>
      <c r="T48" s="27">
        <f t="shared" si="9"/>
        <v>7388.4934143999999</v>
      </c>
      <c r="U48" s="27">
        <f t="shared" si="10"/>
        <v>7519.5631615999991</v>
      </c>
      <c r="V48" s="27">
        <f t="shared" si="11"/>
        <v>7541.4898943999997</v>
      </c>
      <c r="W48" s="1">
        <f t="shared" si="12"/>
        <v>7660.359705599999</v>
      </c>
      <c r="X48" s="1">
        <f t="shared" si="13"/>
        <v>7685.9397887999994</v>
      </c>
      <c r="Y48" s="1">
        <f t="shared" si="14"/>
        <v>8142.5754367999998</v>
      </c>
      <c r="Z48" s="34">
        <f>Z30*16</f>
        <v>6630.4</v>
      </c>
      <c r="AA48" s="1">
        <f t="shared" ref="AA48" si="39">Z48*$AA$4</f>
        <v>8175.9130880000002</v>
      </c>
      <c r="AB48" s="1">
        <f t="shared" ref="AB48" si="40">Z48*$AB$4</f>
        <v>8282.2050303999986</v>
      </c>
      <c r="AC48" s="1">
        <f t="shared" si="17"/>
        <v>8388.0195839999997</v>
      </c>
      <c r="AD48" s="1">
        <f t="shared" si="18"/>
        <v>8441.8518015999998</v>
      </c>
    </row>
    <row r="49" spans="1:30" x14ac:dyDescent="0.2">
      <c r="A49" s="5"/>
      <c r="B49" s="7"/>
      <c r="C49" s="6"/>
      <c r="D49" s="11"/>
      <c r="E49" s="11"/>
      <c r="F49" s="11"/>
      <c r="H49" s="21"/>
      <c r="I49" s="21"/>
      <c r="J49" s="21"/>
      <c r="K49" s="1"/>
      <c r="L49" s="23"/>
      <c r="M49" s="27"/>
      <c r="N49" s="27">
        <f t="shared" si="19"/>
        <v>0</v>
      </c>
      <c r="O49" s="27">
        <f t="shared" si="5"/>
        <v>0</v>
      </c>
      <c r="P49" s="27">
        <f t="shared" si="20"/>
        <v>0</v>
      </c>
      <c r="Q49" s="27">
        <f t="shared" si="6"/>
        <v>0</v>
      </c>
      <c r="R49" s="27">
        <f t="shared" si="7"/>
        <v>0</v>
      </c>
      <c r="S49" s="27">
        <f t="shared" si="8"/>
        <v>0</v>
      </c>
      <c r="T49" s="27">
        <f t="shared" si="9"/>
        <v>0</v>
      </c>
      <c r="U49" s="27">
        <f t="shared" si="10"/>
        <v>0</v>
      </c>
      <c r="V49" s="27">
        <f t="shared" si="11"/>
        <v>0</v>
      </c>
      <c r="W49" s="1"/>
      <c r="X49" s="1"/>
      <c r="Y49" s="1"/>
      <c r="Z49" s="34"/>
      <c r="AA49" s="1"/>
      <c r="AC49" s="1"/>
      <c r="AD49" s="1"/>
    </row>
    <row r="50" spans="1:30" ht="42.6" customHeight="1" x14ac:dyDescent="0.25">
      <c r="A50" s="16" t="s">
        <v>46</v>
      </c>
      <c r="B50" s="8"/>
      <c r="H50" s="21"/>
      <c r="I50" s="21"/>
      <c r="J50" s="21"/>
      <c r="L50" s="23"/>
      <c r="M50" s="27"/>
      <c r="N50" s="27">
        <f t="shared" si="19"/>
        <v>0</v>
      </c>
      <c r="O50" s="27">
        <f t="shared" si="5"/>
        <v>0</v>
      </c>
      <c r="P50" s="27">
        <f t="shared" si="20"/>
        <v>0</v>
      </c>
      <c r="Q50" s="27">
        <f t="shared" si="6"/>
        <v>0</v>
      </c>
      <c r="R50" s="27">
        <f t="shared" si="7"/>
        <v>0</v>
      </c>
      <c r="S50" s="27">
        <f t="shared" si="8"/>
        <v>0</v>
      </c>
      <c r="T50" s="27">
        <f t="shared" si="9"/>
        <v>0</v>
      </c>
      <c r="U50" s="27">
        <f t="shared" si="10"/>
        <v>0</v>
      </c>
      <c r="V50" s="27">
        <f t="shared" si="11"/>
        <v>0</v>
      </c>
      <c r="W50" s="1"/>
      <c r="X50" s="1"/>
      <c r="Y50" s="1"/>
      <c r="Z50" s="34"/>
      <c r="AA50" s="1"/>
      <c r="AC50" s="1"/>
      <c r="AD50" s="1"/>
    </row>
    <row r="51" spans="1:30" x14ac:dyDescent="0.2">
      <c r="A51" s="5" t="s">
        <v>53</v>
      </c>
      <c r="B51" s="7">
        <v>87.33</v>
      </c>
      <c r="C51" s="5">
        <v>106.36</v>
      </c>
      <c r="D51" s="15">
        <f t="shared" ref="D51" si="41">C51/$C$8*$D$8</f>
        <v>110.35332605859369</v>
      </c>
      <c r="E51" s="15">
        <f t="shared" ref="E51" si="42">C51/$C$8*$E$8</f>
        <v>112.53552107580757</v>
      </c>
      <c r="F51" s="15" t="e">
        <f>B51*#REF!</f>
        <v>#REF!</v>
      </c>
      <c r="G51" s="14"/>
      <c r="H51" s="21">
        <f>18352.17/160.33</f>
        <v>114.4649784818811</v>
      </c>
      <c r="I51" s="21">
        <v>116.43</v>
      </c>
      <c r="J51" s="21">
        <v>116.95</v>
      </c>
      <c r="K51">
        <v>117.88</v>
      </c>
      <c r="L51" s="23">
        <f t="shared" si="4"/>
        <v>119.32355895852302</v>
      </c>
      <c r="M51" s="27">
        <f t="shared" si="21"/>
        <v>121.0699511352211</v>
      </c>
      <c r="N51" s="27">
        <f t="shared" si="19"/>
        <v>122.44124157743401</v>
      </c>
      <c r="O51" s="27">
        <f t="shared" si="5"/>
        <v>123.0466468486247</v>
      </c>
      <c r="P51" s="27">
        <f t="shared" si="20"/>
        <v>124.1843142697561</v>
      </c>
      <c r="Q51" s="27">
        <f t="shared" si="6"/>
        <v>126.28188500043659</v>
      </c>
      <c r="R51" s="27">
        <f t="shared" si="7"/>
        <v>126.16455839749266</v>
      </c>
      <c r="S51" s="27">
        <f t="shared" si="8"/>
        <v>127.17391057774589</v>
      </c>
      <c r="T51" s="27">
        <f t="shared" si="9"/>
        <v>127.55244626158546</v>
      </c>
      <c r="U51" s="27">
        <f t="shared" si="10"/>
        <v>129.81518995621528</v>
      </c>
      <c r="V51" s="27">
        <f t="shared" si="11"/>
        <v>130.19372564005485</v>
      </c>
      <c r="W51" s="1">
        <f t="shared" si="12"/>
        <v>132.24585377427803</v>
      </c>
      <c r="X51" s="1">
        <f t="shared" si="13"/>
        <v>132.68745966126113</v>
      </c>
      <c r="Y51" s="1">
        <f t="shared" si="14"/>
        <v>140.57066272930828</v>
      </c>
      <c r="Z51" s="34">
        <f>18352.17/160.33</f>
        <v>114.4649784818811</v>
      </c>
      <c r="AA51" s="1">
        <f t="shared" ref="AA51:AA62" si="43">Z51*$AA$4</f>
        <v>141.14619264111519</v>
      </c>
      <c r="AB51" s="1">
        <f t="shared" ref="AB51:AB62" si="44">Z51*$AB$4</f>
        <v>142.9811807111582</v>
      </c>
      <c r="AC51" s="1">
        <f t="shared" si="17"/>
        <v>144.80792730275056</v>
      </c>
      <c r="AD51" s="1">
        <f t="shared" si="18"/>
        <v>145.73726846304496</v>
      </c>
    </row>
    <row r="52" spans="1:30" x14ac:dyDescent="0.2">
      <c r="A52" s="5" t="s">
        <v>54</v>
      </c>
      <c r="B52" s="7"/>
      <c r="C52" s="5"/>
      <c r="D52" s="15"/>
      <c r="E52" s="15"/>
      <c r="F52" s="15"/>
      <c r="G52" s="14"/>
      <c r="H52" s="21">
        <f>18666.83/160.33</f>
        <v>116.42755566643797</v>
      </c>
      <c r="I52" s="21">
        <v>118.42</v>
      </c>
      <c r="J52" s="21">
        <v>118.96</v>
      </c>
      <c r="K52">
        <v>119.9</v>
      </c>
      <c r="L52" s="23">
        <f t="shared" si="4"/>
        <v>121.36943969425559</v>
      </c>
      <c r="M52" s="27">
        <f t="shared" si="21"/>
        <v>123.14577491105844</v>
      </c>
      <c r="N52" s="27">
        <f t="shared" si="19"/>
        <v>124.54057702794236</v>
      </c>
      <c r="O52" s="27">
        <f t="shared" si="5"/>
        <v>125.15636236986217</v>
      </c>
      <c r="P52" s="27">
        <f t="shared" si="20"/>
        <v>126.31353584563088</v>
      </c>
      <c r="Q52" s="27">
        <f t="shared" si="6"/>
        <v>128.44707080321837</v>
      </c>
      <c r="R52" s="27">
        <f t="shared" si="7"/>
        <v>128.32773255866027</v>
      </c>
      <c r="S52" s="27">
        <f t="shared" si="8"/>
        <v>129.35439074452691</v>
      </c>
      <c r="T52" s="27">
        <f t="shared" si="9"/>
        <v>129.73941667111581</v>
      </c>
      <c r="U52" s="27">
        <f t="shared" si="10"/>
        <v>132.04095659152998</v>
      </c>
      <c r="V52" s="27">
        <f t="shared" si="11"/>
        <v>132.42598251811887</v>
      </c>
      <c r="W52" s="1">
        <f t="shared" si="12"/>
        <v>134.51329573610676</v>
      </c>
      <c r="X52" s="1">
        <f t="shared" si="13"/>
        <v>134.9624732458679</v>
      </c>
      <c r="Y52" s="1">
        <f t="shared" si="14"/>
        <v>142.98083900461549</v>
      </c>
      <c r="Z52" s="34">
        <f>18666.83/160.33</f>
        <v>116.42755566643797</v>
      </c>
      <c r="AA52" s="1">
        <f t="shared" si="43"/>
        <v>143.56623675450632</v>
      </c>
      <c r="AB52" s="1">
        <f t="shared" si="44"/>
        <v>145.43268689939498</v>
      </c>
      <c r="AC52" s="1">
        <f t="shared" si="17"/>
        <v>147.29075426027569</v>
      </c>
      <c r="AD52" s="1">
        <f t="shared" si="18"/>
        <v>148.23602958473148</v>
      </c>
    </row>
    <row r="53" spans="1:30" x14ac:dyDescent="0.2">
      <c r="A53" s="5" t="s">
        <v>55</v>
      </c>
      <c r="B53" s="7"/>
      <c r="C53" s="5"/>
      <c r="D53" s="15"/>
      <c r="E53" s="15"/>
      <c r="F53" s="15"/>
      <c r="G53" s="14"/>
      <c r="H53" s="21">
        <f>19251.92/160.33</f>
        <v>120.07684151437658</v>
      </c>
      <c r="I53" s="21">
        <v>122.14</v>
      </c>
      <c r="J53" s="21">
        <v>122.69</v>
      </c>
      <c r="K53">
        <v>123.66</v>
      </c>
      <c r="L53" s="23">
        <f t="shared" si="4"/>
        <v>125.17362312929581</v>
      </c>
      <c r="M53" s="27">
        <f t="shared" si="21"/>
        <v>127.00563550028066</v>
      </c>
      <c r="N53" s="27">
        <f t="shared" si="19"/>
        <v>128.44415606162289</v>
      </c>
      <c r="O53" s="27">
        <f t="shared" si="5"/>
        <v>129.07924247639244</v>
      </c>
      <c r="P53" s="27">
        <f t="shared" si="20"/>
        <v>130.27268620420381</v>
      </c>
      <c r="Q53" s="27">
        <f t="shared" si="6"/>
        <v>132.47309432495479</v>
      </c>
      <c r="R53" s="27">
        <f t="shared" si="7"/>
        <v>132.35001556240255</v>
      </c>
      <c r="S53" s="27">
        <f t="shared" si="8"/>
        <v>133.4088531508763</v>
      </c>
      <c r="T53" s="27">
        <f t="shared" si="9"/>
        <v>133.80594726576433</v>
      </c>
      <c r="U53" s="27">
        <f t="shared" si="10"/>
        <v>136.17962626882053</v>
      </c>
      <c r="V53" s="27">
        <f t="shared" si="11"/>
        <v>136.57672038370859</v>
      </c>
      <c r="W53" s="1">
        <f t="shared" si="12"/>
        <v>138.72945799837831</v>
      </c>
      <c r="X53" s="1">
        <f t="shared" si="13"/>
        <v>139.19271445294081</v>
      </c>
      <c r="Y53" s="1">
        <f t="shared" si="14"/>
        <v>147.4624065280359</v>
      </c>
      <c r="Z53" s="34">
        <f>19251.92/160.33</f>
        <v>120.07684151437658</v>
      </c>
      <c r="AA53" s="1">
        <f t="shared" si="43"/>
        <v>148.0661528871702</v>
      </c>
      <c r="AB53" s="1">
        <f t="shared" si="44"/>
        <v>149.99110473348716</v>
      </c>
      <c r="AC53" s="1">
        <f t="shared" si="17"/>
        <v>151.90741104721511</v>
      </c>
      <c r="AD53" s="1">
        <f t="shared" si="18"/>
        <v>152.88231492347032</v>
      </c>
    </row>
    <row r="54" spans="1:30" x14ac:dyDescent="0.2">
      <c r="A54" s="5" t="s">
        <v>56</v>
      </c>
      <c r="B54" s="7"/>
      <c r="C54" s="5"/>
      <c r="D54" s="15"/>
      <c r="E54" s="15"/>
      <c r="F54" s="15"/>
      <c r="G54" s="14"/>
      <c r="H54" s="21">
        <v>2.86</v>
      </c>
      <c r="I54" s="21">
        <v>2.91</v>
      </c>
      <c r="J54" s="21">
        <v>2.92</v>
      </c>
      <c r="K54" s="21">
        <v>2.95</v>
      </c>
      <c r="L54" s="23">
        <f t="shared" si="4"/>
        <v>2.9813955599999997</v>
      </c>
      <c r="M54" s="27">
        <f t="shared" si="21"/>
        <v>3.0250305800000001</v>
      </c>
      <c r="N54" s="27">
        <f t="shared" si="19"/>
        <v>3.0592933799999997</v>
      </c>
      <c r="O54" s="27">
        <f t="shared" si="5"/>
        <v>3.07441992</v>
      </c>
      <c r="P54" s="27">
        <f t="shared" si="20"/>
        <v>3.1028454599999997</v>
      </c>
      <c r="Q54" s="27">
        <f>H54*1.103236</f>
        <v>3.1552549600000002</v>
      </c>
      <c r="R54" s="27">
        <f t="shared" si="7"/>
        <v>3.1523234599999999</v>
      </c>
      <c r="S54" s="27">
        <f t="shared" si="8"/>
        <v>3.1775429399999999</v>
      </c>
      <c r="T54" s="27">
        <f t="shared" si="9"/>
        <v>3.1870009599999998</v>
      </c>
      <c r="U54" s="27">
        <f t="shared" si="10"/>
        <v>3.2435374399999999</v>
      </c>
      <c r="V54" s="27">
        <f t="shared" si="11"/>
        <v>3.2529954599999997</v>
      </c>
      <c r="W54" s="1">
        <f t="shared" si="12"/>
        <v>3.3042695399999995</v>
      </c>
      <c r="X54" s="1">
        <f t="shared" si="13"/>
        <v>3.3153034199999998</v>
      </c>
      <c r="Y54" s="1">
        <f t="shared" si="14"/>
        <v>3.5122716199999999</v>
      </c>
      <c r="Z54" s="34">
        <v>2.86</v>
      </c>
      <c r="AA54" s="1">
        <f t="shared" si="43"/>
        <v>3.5266516999999999</v>
      </c>
      <c r="AB54" s="1">
        <f t="shared" si="44"/>
        <v>3.5725003599999998</v>
      </c>
      <c r="AC54" s="1">
        <f t="shared" si="17"/>
        <v>3.6181430999999997</v>
      </c>
      <c r="AD54" s="1">
        <f t="shared" si="18"/>
        <v>3.6413634399999997</v>
      </c>
    </row>
    <row r="55" spans="1:30" x14ac:dyDescent="0.2">
      <c r="A55" s="7" t="s">
        <v>69</v>
      </c>
      <c r="B55" s="7"/>
      <c r="C55" s="5"/>
      <c r="D55" s="15"/>
      <c r="E55" s="15"/>
      <c r="F55" s="15"/>
      <c r="G55" s="14"/>
      <c r="H55" s="21"/>
      <c r="I55" s="21"/>
      <c r="J55" s="21"/>
      <c r="K55" s="21"/>
      <c r="L55" s="23"/>
      <c r="M55" s="27"/>
      <c r="N55" s="27">
        <f t="shared" si="19"/>
        <v>0</v>
      </c>
      <c r="O55" s="27">
        <f t="shared" si="5"/>
        <v>0</v>
      </c>
      <c r="P55" s="27">
        <f t="shared" si="20"/>
        <v>0</v>
      </c>
      <c r="Q55" s="27">
        <f t="shared" si="6"/>
        <v>0</v>
      </c>
      <c r="R55" s="27">
        <f t="shared" si="7"/>
        <v>0</v>
      </c>
      <c r="S55" s="27">
        <f t="shared" si="8"/>
        <v>0</v>
      </c>
      <c r="T55" s="27">
        <f t="shared" si="9"/>
        <v>0</v>
      </c>
      <c r="U55" s="27">
        <f t="shared" si="10"/>
        <v>0</v>
      </c>
      <c r="V55" s="27">
        <f t="shared" si="11"/>
        <v>0</v>
      </c>
      <c r="W55" s="1"/>
      <c r="X55" s="1"/>
      <c r="Y55" s="1"/>
      <c r="Z55" s="34"/>
      <c r="AA55" s="1"/>
      <c r="AC55" s="1"/>
      <c r="AD55" s="1"/>
    </row>
    <row r="56" spans="1:30" x14ac:dyDescent="0.2">
      <c r="A56" s="5" t="s">
        <v>53</v>
      </c>
      <c r="B56" s="7"/>
      <c r="C56" s="5"/>
      <c r="D56" s="15"/>
      <c r="E56" s="15"/>
      <c r="F56" s="15"/>
      <c r="G56" s="14"/>
      <c r="H56" s="21">
        <f>213311/1924</f>
        <v>110.86850311850311</v>
      </c>
      <c r="I56" s="21"/>
      <c r="J56" s="21"/>
      <c r="K56" s="21">
        <f>H56*$K$3/100+H56</f>
        <v>114.18147572869023</v>
      </c>
      <c r="L56" s="23">
        <f>H56*$L$3/100+H56</f>
        <v>115.57442760187109</v>
      </c>
      <c r="M56" s="27">
        <f t="shared" si="21"/>
        <v>117.26594835395011</v>
      </c>
      <c r="N56" s="27">
        <f t="shared" si="19"/>
        <v>118.59415302130976</v>
      </c>
      <c r="O56" s="27">
        <f t="shared" si="5"/>
        <v>119.18053653430353</v>
      </c>
      <c r="P56" s="27">
        <f t="shared" si="20"/>
        <v>120.28245858679833</v>
      </c>
      <c r="Q56" s="27">
        <f t="shared" si="6"/>
        <v>122.31412390644492</v>
      </c>
      <c r="R56" s="27">
        <f t="shared" si="7"/>
        <v>122.20048369074844</v>
      </c>
      <c r="S56" s="27">
        <f t="shared" si="8"/>
        <v>123.17812215124741</v>
      </c>
      <c r="T56" s="27">
        <f t="shared" si="9"/>
        <v>123.54476429106029</v>
      </c>
      <c r="U56" s="27">
        <f t="shared" si="10"/>
        <v>125.73641286070685</v>
      </c>
      <c r="V56" s="27">
        <f t="shared" si="11"/>
        <v>126.10305500051975</v>
      </c>
      <c r="W56" s="1">
        <f t="shared" si="12"/>
        <v>128.09070552442824</v>
      </c>
      <c r="X56" s="1">
        <f t="shared" si="13"/>
        <v>128.51843620945945</v>
      </c>
      <c r="Y56" s="1">
        <f t="shared" si="14"/>
        <v>136.15395001923076</v>
      </c>
      <c r="Z56" s="34">
        <f>213311/1924</f>
        <v>110.86850311850311</v>
      </c>
      <c r="AA56" s="1">
        <f t="shared" si="43"/>
        <v>136.71139685291061</v>
      </c>
      <c r="AB56" s="1">
        <f t="shared" si="44"/>
        <v>138.48872982640333</v>
      </c>
      <c r="AC56" s="1">
        <f t="shared" si="17"/>
        <v>140.25808026767152</v>
      </c>
      <c r="AD56" s="1">
        <f t="shared" si="18"/>
        <v>141.15822164449065</v>
      </c>
    </row>
    <row r="57" spans="1:30" x14ac:dyDescent="0.2">
      <c r="A57" s="5" t="s">
        <v>54</v>
      </c>
      <c r="B57" s="7"/>
      <c r="C57" s="5"/>
      <c r="D57" s="15"/>
      <c r="E57" s="15"/>
      <c r="F57" s="15"/>
      <c r="G57" s="14"/>
      <c r="H57" s="21">
        <f>216916/1924</f>
        <v>112.74220374220374</v>
      </c>
      <c r="I57" s="21"/>
      <c r="J57" s="21"/>
      <c r="K57" s="21">
        <f t="shared" ref="K57" si="45">H57*$K$3/100+H57</f>
        <v>116.11116627442827</v>
      </c>
      <c r="L57" s="23">
        <f>H57*$L$3/100+H57</f>
        <v>117.52765932224533</v>
      </c>
      <c r="M57" s="27">
        <f t="shared" si="21"/>
        <v>119.24776712474014</v>
      </c>
      <c r="N57" s="27">
        <f t="shared" si="19"/>
        <v>120.59841872557172</v>
      </c>
      <c r="O57" s="27">
        <f t="shared" si="5"/>
        <v>121.19471224116424</v>
      </c>
      <c r="P57" s="27">
        <f t="shared" si="20"/>
        <v>122.315257004158</v>
      </c>
      <c r="Q57" s="27">
        <f t="shared" si="6"/>
        <v>124.3812578877339</v>
      </c>
      <c r="R57" s="27">
        <f t="shared" si="7"/>
        <v>124.26569712889814</v>
      </c>
      <c r="S57" s="27">
        <f t="shared" si="8"/>
        <v>125.25985788149688</v>
      </c>
      <c r="T57" s="27">
        <f t="shared" si="9"/>
        <v>125.63269634927235</v>
      </c>
      <c r="U57" s="27">
        <f t="shared" si="10"/>
        <v>127.86138423284824</v>
      </c>
      <c r="V57" s="27">
        <f t="shared" si="11"/>
        <v>128.23422270062369</v>
      </c>
      <c r="W57" s="1">
        <f t="shared" si="12"/>
        <v>130.25546492931392</v>
      </c>
      <c r="X57" s="1">
        <f t="shared" si="13"/>
        <v>130.69042435135137</v>
      </c>
      <c r="Y57" s="1">
        <f t="shared" si="14"/>
        <v>138.45497992307693</v>
      </c>
      <c r="Z57" s="34">
        <f>216916/1924</f>
        <v>112.74220374220374</v>
      </c>
      <c r="AA57" s="1">
        <f t="shared" si="43"/>
        <v>139.02184772349273</v>
      </c>
      <c r="AB57" s="1">
        <f t="shared" si="44"/>
        <v>140.82921799168398</v>
      </c>
      <c r="AC57" s="1">
        <f t="shared" si="17"/>
        <v>142.62847082120581</v>
      </c>
      <c r="AD57" s="1">
        <f t="shared" si="18"/>
        <v>143.54382477338876</v>
      </c>
    </row>
    <row r="58" spans="1:30" x14ac:dyDescent="0.2">
      <c r="A58" s="5" t="s">
        <v>55</v>
      </c>
      <c r="B58" s="7"/>
      <c r="C58" s="5"/>
      <c r="D58" s="15"/>
      <c r="E58" s="15"/>
      <c r="F58" s="15"/>
      <c r="G58" s="14"/>
      <c r="H58" s="21">
        <f>223579/1924</f>
        <v>116.20530145530145</v>
      </c>
      <c r="I58" s="21"/>
      <c r="J58" s="21"/>
      <c r="K58" s="21">
        <f>H58*$K$3/100+H58</f>
        <v>119.67774827338877</v>
      </c>
      <c r="L58" s="23">
        <f>H58*$L$3/100+H58</f>
        <v>121.13775168087318</v>
      </c>
      <c r="M58" s="27">
        <f t="shared" si="21"/>
        <v>122.91069596517671</v>
      </c>
      <c r="N58" s="27">
        <f t="shared" si="19"/>
        <v>124.30283547661122</v>
      </c>
      <c r="O58" s="27">
        <f t="shared" si="5"/>
        <v>124.91744531600831</v>
      </c>
      <c r="P58" s="27">
        <f t="shared" si="20"/>
        <v>126.07240980717255</v>
      </c>
      <c r="Q58" s="27">
        <f>H58*1.103236</f>
        <v>128.20187195634097</v>
      </c>
      <c r="R58" s="27">
        <f t="shared" si="7"/>
        <v>128.08276152234927</v>
      </c>
      <c r="S58" s="27">
        <f t="shared" si="8"/>
        <v>129.10745987058212</v>
      </c>
      <c r="T58" s="27">
        <f t="shared" si="9"/>
        <v>129.49175080249481</v>
      </c>
      <c r="U58" s="27">
        <f t="shared" si="10"/>
        <v>131.78889720166319</v>
      </c>
      <c r="V58" s="27">
        <f t="shared" si="11"/>
        <v>132.17318813357588</v>
      </c>
      <c r="W58" s="1">
        <f t="shared" si="12"/>
        <v>134.2565167780665</v>
      </c>
      <c r="X58" s="1">
        <f t="shared" si="13"/>
        <v>134.70483683108108</v>
      </c>
      <c r="Y58" s="1">
        <f t="shared" si="14"/>
        <v>142.70789594230769</v>
      </c>
      <c r="Z58" s="34">
        <f>223579/1924</f>
        <v>116.20530145530145</v>
      </c>
      <c r="AA58" s="1">
        <f t="shared" si="43"/>
        <v>143.29217619802495</v>
      </c>
      <c r="AB58" s="1">
        <f t="shared" si="44"/>
        <v>145.15506338565487</v>
      </c>
      <c r="AC58" s="1">
        <f t="shared" si="17"/>
        <v>147.00958379158004</v>
      </c>
      <c r="AD58" s="1">
        <f t="shared" si="18"/>
        <v>147.95305463409562</v>
      </c>
    </row>
    <row r="59" spans="1:30" x14ac:dyDescent="0.2">
      <c r="A59" s="7" t="s">
        <v>70</v>
      </c>
      <c r="K59" s="21"/>
      <c r="L59" s="23"/>
      <c r="M59" s="27"/>
      <c r="N59" s="27">
        <f t="shared" si="19"/>
        <v>0</v>
      </c>
      <c r="O59" s="27">
        <f t="shared" si="5"/>
        <v>0</v>
      </c>
      <c r="P59" s="27">
        <f t="shared" si="20"/>
        <v>0</v>
      </c>
      <c r="Q59" s="27">
        <f t="shared" si="6"/>
        <v>0</v>
      </c>
      <c r="R59" s="27">
        <f t="shared" si="7"/>
        <v>0</v>
      </c>
      <c r="S59" s="27">
        <f t="shared" si="8"/>
        <v>0</v>
      </c>
      <c r="T59" s="27">
        <f t="shared" si="9"/>
        <v>0</v>
      </c>
      <c r="U59" s="27">
        <f t="shared" si="10"/>
        <v>0</v>
      </c>
      <c r="V59" s="27">
        <f t="shared" si="11"/>
        <v>0</v>
      </c>
      <c r="W59" s="1"/>
      <c r="X59" s="1"/>
      <c r="Y59" s="1"/>
      <c r="Z59" s="34"/>
      <c r="AA59" s="1"/>
      <c r="AC59" s="1"/>
      <c r="AD59" s="1"/>
    </row>
    <row r="60" spans="1:30" x14ac:dyDescent="0.2">
      <c r="A60" s="5" t="s">
        <v>53</v>
      </c>
      <c r="H60" s="11">
        <f>206396/1924</f>
        <v>107.27442827442827</v>
      </c>
      <c r="K60" s="21">
        <f t="shared" ref="K60:K62" si="46">H60*$K$3/100+H60</f>
        <v>110.48000274012475</v>
      </c>
      <c r="L60" s="23">
        <f t="shared" ref="L60:L62" si="47">H60*$L$3/100+H60</f>
        <v>111.82779865696466</v>
      </c>
      <c r="M60" s="27">
        <f t="shared" si="21"/>
        <v>113.46448460914762</v>
      </c>
      <c r="N60" s="27">
        <f t="shared" si="19"/>
        <v>114.74963225987526</v>
      </c>
      <c r="O60" s="27">
        <f t="shared" si="5"/>
        <v>115.31700671101872</v>
      </c>
      <c r="P60" s="27">
        <f t="shared" si="20"/>
        <v>116.38320725363825</v>
      </c>
      <c r="Q60" s="27">
        <f t="shared" si="6"/>
        <v>118.34901115176716</v>
      </c>
      <c r="R60" s="27">
        <f t="shared" si="7"/>
        <v>118.23905486278586</v>
      </c>
      <c r="S60" s="27">
        <f t="shared" si="8"/>
        <v>119.18500077130977</v>
      </c>
      <c r="T60" s="27">
        <f t="shared" si="9"/>
        <v>119.53975730561331</v>
      </c>
      <c r="U60" s="27">
        <f t="shared" si="10"/>
        <v>121.66035820374221</v>
      </c>
      <c r="V60" s="27">
        <f t="shared" si="11"/>
        <v>122.01511473804574</v>
      </c>
      <c r="W60" s="1">
        <f t="shared" si="12"/>
        <v>123.93833068814968</v>
      </c>
      <c r="X60" s="1">
        <f t="shared" si="13"/>
        <v>124.35219543243244</v>
      </c>
      <c r="Y60" s="1">
        <f t="shared" si="14"/>
        <v>131.74018530769231</v>
      </c>
      <c r="Z60" s="34">
        <f>206396/1924</f>
        <v>107.27442827442827</v>
      </c>
      <c r="AA60" s="1">
        <f t="shared" si="43"/>
        <v>132.27956113305615</v>
      </c>
      <c r="AB60" s="1">
        <f t="shared" si="44"/>
        <v>133.99927749272348</v>
      </c>
      <c r="AC60" s="1">
        <f t="shared" si="17"/>
        <v>135.7112700935551</v>
      </c>
      <c r="AD60" s="1">
        <f t="shared" si="18"/>
        <v>136.58223117671517</v>
      </c>
    </row>
    <row r="61" spans="1:30" x14ac:dyDescent="0.2">
      <c r="A61" s="5" t="s">
        <v>54</v>
      </c>
      <c r="H61" s="11">
        <f>209829/1924</f>
        <v>109.05873180873181</v>
      </c>
      <c r="K61" s="21">
        <f t="shared" si="46"/>
        <v>112.31762483264033</v>
      </c>
      <c r="L61" s="23">
        <f t="shared" si="47"/>
        <v>113.68783873908524</v>
      </c>
      <c r="M61" s="27">
        <f t="shared" si="21"/>
        <v>115.35174781029106</v>
      </c>
      <c r="N61" s="27">
        <f t="shared" si="19"/>
        <v>116.65827141735966</v>
      </c>
      <c r="O61" s="27">
        <f t="shared" si="5"/>
        <v>117.23508304989605</v>
      </c>
      <c r="P61" s="27">
        <f t="shared" si="20"/>
        <v>118.31901778534304</v>
      </c>
      <c r="Q61" s="27">
        <f t="shared" si="6"/>
        <v>120.31751904573805</v>
      </c>
      <c r="R61" s="27">
        <f t="shared" si="7"/>
        <v>120.2057338456341</v>
      </c>
      <c r="S61" s="27">
        <f t="shared" si="8"/>
        <v>121.1674137427235</v>
      </c>
      <c r="T61" s="27">
        <f t="shared" si="9"/>
        <v>121.52807096881497</v>
      </c>
      <c r="U61" s="27">
        <f t="shared" si="10"/>
        <v>123.68394397920997</v>
      </c>
      <c r="V61" s="27">
        <f t="shared" si="11"/>
        <v>124.04460120530145</v>
      </c>
      <c r="W61" s="1">
        <f t="shared" si="12"/>
        <v>125.99980614916838</v>
      </c>
      <c r="X61" s="1">
        <f t="shared" si="13"/>
        <v>126.42055473648649</v>
      </c>
      <c r="Y61" s="1">
        <f t="shared" si="14"/>
        <v>133.93142959615383</v>
      </c>
      <c r="Z61" s="34">
        <f>209829/1924</f>
        <v>109.05873180873181</v>
      </c>
      <c r="AA61" s="1">
        <f t="shared" si="43"/>
        <v>134.47977689968815</v>
      </c>
      <c r="AB61" s="1">
        <f t="shared" si="44"/>
        <v>136.22809742931392</v>
      </c>
      <c r="AC61" s="1">
        <f t="shared" si="17"/>
        <v>137.96856573024948</v>
      </c>
      <c r="AD61" s="1">
        <f t="shared" si="18"/>
        <v>138.85401357380456</v>
      </c>
    </row>
    <row r="62" spans="1:30" x14ac:dyDescent="0.2">
      <c r="A62" s="5" t="s">
        <v>55</v>
      </c>
      <c r="H62" s="11">
        <f>216134/1924</f>
        <v>112.33575883575884</v>
      </c>
      <c r="K62" s="21">
        <f t="shared" si="46"/>
        <v>115.69257598128898</v>
      </c>
      <c r="L62" s="23">
        <f t="shared" si="47"/>
        <v>117.10396245530146</v>
      </c>
      <c r="M62" s="27">
        <f t="shared" si="21"/>
        <v>118.81786912785864</v>
      </c>
      <c r="N62" s="27">
        <f t="shared" si="19"/>
        <v>120.16365151871102</v>
      </c>
      <c r="O62" s="27">
        <f t="shared" si="5"/>
        <v>120.75779534719335</v>
      </c>
      <c r="P62" s="27">
        <f t="shared" si="20"/>
        <v>121.87430045426196</v>
      </c>
      <c r="Q62" s="27">
        <f t="shared" si="6"/>
        <v>123.93285323492725</v>
      </c>
      <c r="R62" s="27">
        <f t="shared" si="7"/>
        <v>123.81770908212059</v>
      </c>
      <c r="S62" s="27">
        <f t="shared" si="8"/>
        <v>124.80828580353432</v>
      </c>
      <c r="T62" s="27">
        <f t="shared" si="9"/>
        <v>125.17978015800416</v>
      </c>
      <c r="U62" s="27">
        <f t="shared" si="10"/>
        <v>127.40043343866944</v>
      </c>
      <c r="V62" s="27">
        <f t="shared" si="11"/>
        <v>127.77192779313928</v>
      </c>
      <c r="W62" s="1">
        <f t="shared" si="12"/>
        <v>129.78588327754676</v>
      </c>
      <c r="X62" s="1">
        <f t="shared" si="13"/>
        <v>130.21927463513515</v>
      </c>
      <c r="Y62" s="1">
        <f t="shared" si="14"/>
        <v>137.95583834615385</v>
      </c>
      <c r="Z62" s="34">
        <f>216134/1924</f>
        <v>112.33575883575884</v>
      </c>
      <c r="AA62" s="1">
        <f t="shared" si="43"/>
        <v>138.52066254158004</v>
      </c>
      <c r="AB62" s="1">
        <f t="shared" si="44"/>
        <v>140.3215170914761</v>
      </c>
      <c r="AC62" s="1">
        <f t="shared" si="17"/>
        <v>142.11428346673597</v>
      </c>
      <c r="AD62" s="1">
        <f t="shared" si="18"/>
        <v>143.02633749272348</v>
      </c>
    </row>
    <row r="63" spans="1:30" x14ac:dyDescent="0.2">
      <c r="A63" s="5"/>
      <c r="B63" s="7"/>
      <c r="C63" s="5"/>
      <c r="D63" s="15"/>
      <c r="E63" s="15"/>
      <c r="F63" s="15"/>
      <c r="G63" s="14"/>
      <c r="H63" s="21"/>
      <c r="I63" s="21"/>
      <c r="J63" s="21"/>
      <c r="K63" s="21"/>
      <c r="L63" s="23"/>
      <c r="M63" s="27"/>
      <c r="N63" s="27">
        <f t="shared" si="19"/>
        <v>0</v>
      </c>
      <c r="O63" s="27">
        <f t="shared" si="5"/>
        <v>0</v>
      </c>
      <c r="P63" s="27">
        <f t="shared" si="20"/>
        <v>0</v>
      </c>
      <c r="Q63" s="27">
        <f t="shared" si="6"/>
        <v>0</v>
      </c>
      <c r="R63" s="27">
        <f t="shared" si="7"/>
        <v>0</v>
      </c>
      <c r="S63" s="27">
        <f t="shared" si="8"/>
        <v>0</v>
      </c>
      <c r="T63" s="27">
        <f t="shared" si="9"/>
        <v>0</v>
      </c>
      <c r="U63" s="27">
        <f t="shared" si="10"/>
        <v>0</v>
      </c>
      <c r="V63" s="27">
        <f t="shared" si="11"/>
        <v>0</v>
      </c>
      <c r="W63" s="1"/>
      <c r="X63" s="1"/>
      <c r="Y63" s="1"/>
      <c r="Z63" s="34"/>
      <c r="AA63" s="1"/>
      <c r="AC63" s="1"/>
      <c r="AD63" s="1"/>
    </row>
    <row r="64" spans="1:30" ht="30" customHeight="1" x14ac:dyDescent="0.25">
      <c r="A64" s="16" t="s">
        <v>51</v>
      </c>
      <c r="B64" s="8"/>
      <c r="H64" s="21"/>
      <c r="I64" s="21"/>
      <c r="J64" s="21"/>
      <c r="L64" s="23"/>
      <c r="M64" s="27"/>
      <c r="N64" s="27">
        <f t="shared" si="19"/>
        <v>0</v>
      </c>
      <c r="O64" s="27">
        <f t="shared" si="5"/>
        <v>0</v>
      </c>
      <c r="P64" s="27">
        <f t="shared" si="20"/>
        <v>0</v>
      </c>
      <c r="Q64" s="27">
        <f>H64*1.103236</f>
        <v>0</v>
      </c>
      <c r="R64" s="27">
        <f t="shared" si="7"/>
        <v>0</v>
      </c>
      <c r="S64" s="27">
        <f t="shared" si="8"/>
        <v>0</v>
      </c>
      <c r="T64" s="27">
        <f t="shared" si="9"/>
        <v>0</v>
      </c>
      <c r="U64" s="27">
        <f t="shared" si="10"/>
        <v>0</v>
      </c>
      <c r="V64" s="27">
        <f t="shared" si="11"/>
        <v>0</v>
      </c>
      <c r="W64" s="1"/>
      <c r="X64" s="1"/>
      <c r="Y64" s="1"/>
      <c r="Z64" s="34"/>
      <c r="AA64" s="1"/>
      <c r="AC64" s="1"/>
      <c r="AD64" s="1"/>
    </row>
    <row r="65" spans="1:30" x14ac:dyDescent="0.2">
      <c r="A65" s="14" t="s">
        <v>38</v>
      </c>
      <c r="B65" s="17"/>
      <c r="H65" s="21">
        <f>20752.08/160.33</f>
        <v>129.43354331690887</v>
      </c>
      <c r="I65" s="21">
        <v>131.65</v>
      </c>
      <c r="J65" s="21">
        <v>132.24</v>
      </c>
      <c r="K65">
        <v>133.30000000000001</v>
      </c>
      <c r="L65" s="23">
        <f t="shared" si="4"/>
        <v>134.92747949653838</v>
      </c>
      <c r="M65" s="27">
        <f t="shared" si="21"/>
        <v>136.90224706692447</v>
      </c>
      <c r="N65" s="27">
        <f t="shared" si="19"/>
        <v>138.45286091586101</v>
      </c>
      <c r="O65" s="27">
        <f t="shared" si="5"/>
        <v>139.13743492646415</v>
      </c>
      <c r="P65" s="27">
        <f t="shared" si="20"/>
        <v>140.42387491349092</v>
      </c>
      <c r="Q65" s="27">
        <f t="shared" si="6"/>
        <v>142.79574459477328</v>
      </c>
      <c r="R65" s="27">
        <f t="shared" si="7"/>
        <v>142.66307521287345</v>
      </c>
      <c r="S65" s="27">
        <f t="shared" si="8"/>
        <v>143.80442019784195</v>
      </c>
      <c r="T65" s="27">
        <f t="shared" si="9"/>
        <v>144.23245692559095</v>
      </c>
      <c r="U65" s="27">
        <f t="shared" si="10"/>
        <v>146.7910992098796</v>
      </c>
      <c r="V65" s="27">
        <f t="shared" si="11"/>
        <v>147.21913593762864</v>
      </c>
      <c r="W65" s="1">
        <f t="shared" si="12"/>
        <v>149.53962050221415</v>
      </c>
      <c r="X65" s="1">
        <f t="shared" si="13"/>
        <v>150.0389751123308</v>
      </c>
      <c r="Y65" s="1">
        <f t="shared" si="14"/>
        <v>158.95306324056634</v>
      </c>
      <c r="Z65" s="34">
        <f>20752.08/160.33</f>
        <v>129.43354331690887</v>
      </c>
      <c r="AA65" s="1">
        <f t="shared" ref="AA65:AA72" si="48">Z65*$AA$4</f>
        <v>159.60385509636376</v>
      </c>
      <c r="AB65" s="1">
        <f t="shared" ref="AB65:AB72" si="49">Z65*$AB$4</f>
        <v>161.67880422927709</v>
      </c>
      <c r="AC65" s="1">
        <f t="shared" si="17"/>
        <v>163.74443414707164</v>
      </c>
      <c r="AD65" s="1">
        <f t="shared" si="18"/>
        <v>164.79530508526165</v>
      </c>
    </row>
    <row r="66" spans="1:30" x14ac:dyDescent="0.2">
      <c r="A66" s="14" t="s">
        <v>41</v>
      </c>
      <c r="B66" s="17"/>
      <c r="H66" s="21">
        <f>21844.33/160.33</f>
        <v>136.24605501153872</v>
      </c>
      <c r="I66" s="21">
        <v>138.59</v>
      </c>
      <c r="J66" s="21">
        <v>139.21</v>
      </c>
      <c r="K66">
        <v>140.32</v>
      </c>
      <c r="L66" s="23">
        <f t="shared" si="4"/>
        <v>142.02915506255849</v>
      </c>
      <c r="M66" s="27">
        <f t="shared" si="21"/>
        <v>144.10786112386955</v>
      </c>
      <c r="N66" s="27">
        <f t="shared" si="19"/>
        <v>145.74008886290775</v>
      </c>
      <c r="O66" s="27">
        <f t="shared" si="5"/>
        <v>146.46069424786381</v>
      </c>
      <c r="P66" s="27">
        <f t="shared" si="20"/>
        <v>147.81484378862348</v>
      </c>
      <c r="Q66" s="27">
        <f t="shared" si="6"/>
        <v>150.31155274670994</v>
      </c>
      <c r="R66" s="27">
        <f t="shared" si="7"/>
        <v>150.17190054032309</v>
      </c>
      <c r="S66" s="27">
        <f t="shared" si="8"/>
        <v>151.37331825341485</v>
      </c>
      <c r="T66" s="27">
        <f t="shared" si="9"/>
        <v>151.82388395733801</v>
      </c>
      <c r="U66" s="27">
        <f t="shared" si="10"/>
        <v>154.51719597280609</v>
      </c>
      <c r="V66" s="27">
        <f t="shared" si="11"/>
        <v>154.96776167672925</v>
      </c>
      <c r="W66" s="1">
        <f t="shared" si="12"/>
        <v>157.4103809509761</v>
      </c>
      <c r="X66" s="1">
        <f t="shared" si="13"/>
        <v>157.93601823121065</v>
      </c>
      <c r="Y66" s="1">
        <f t="shared" si="14"/>
        <v>167.31928403985532</v>
      </c>
      <c r="Z66" s="34">
        <f>21844.33/160.33</f>
        <v>136.24605501153872</v>
      </c>
      <c r="AA66" s="1">
        <f t="shared" si="48"/>
        <v>168.00432920445334</v>
      </c>
      <c r="AB66" s="1">
        <f t="shared" si="49"/>
        <v>170.18848971234331</v>
      </c>
      <c r="AC66" s="1">
        <f t="shared" si="17"/>
        <v>172.36284050427247</v>
      </c>
      <c r="AD66" s="1">
        <f t="shared" si="18"/>
        <v>173.46902222491113</v>
      </c>
    </row>
    <row r="67" spans="1:30" x14ac:dyDescent="0.2">
      <c r="A67" s="14" t="s">
        <v>42</v>
      </c>
      <c r="B67" s="17"/>
      <c r="H67" s="21">
        <f>22936.58/160.33</f>
        <v>143.05856670616853</v>
      </c>
      <c r="I67" s="21">
        <v>145.51</v>
      </c>
      <c r="J67" s="21">
        <v>146.16999999999999</v>
      </c>
      <c r="K67">
        <v>147.33000000000001</v>
      </c>
      <c r="L67" s="23">
        <f t="shared" si="4"/>
        <v>149.13083062857856</v>
      </c>
      <c r="M67" s="27">
        <f t="shared" si="21"/>
        <v>151.31347518081458</v>
      </c>
      <c r="N67" s="27">
        <f t="shared" si="19"/>
        <v>153.02731680995447</v>
      </c>
      <c r="O67" s="27">
        <f t="shared" si="5"/>
        <v>153.78395356926342</v>
      </c>
      <c r="P67" s="27">
        <f t="shared" si="20"/>
        <v>155.20581266375601</v>
      </c>
      <c r="Q67" s="27">
        <f t="shared" si="6"/>
        <v>157.82736089864656</v>
      </c>
      <c r="R67" s="27">
        <f t="shared" si="7"/>
        <v>157.68072586777274</v>
      </c>
      <c r="S67" s="27">
        <f t="shared" si="8"/>
        <v>158.94221630898772</v>
      </c>
      <c r="T67" s="27">
        <f t="shared" si="9"/>
        <v>159.41531098908501</v>
      </c>
      <c r="U67" s="27">
        <f t="shared" si="10"/>
        <v>162.24329273573255</v>
      </c>
      <c r="V67" s="27">
        <f t="shared" si="11"/>
        <v>162.71638741582984</v>
      </c>
      <c r="W67" s="1">
        <f t="shared" si="12"/>
        <v>165.28114139973803</v>
      </c>
      <c r="X67" s="1">
        <f t="shared" si="13"/>
        <v>165.83306135009045</v>
      </c>
      <c r="Y67" s="1">
        <f t="shared" si="14"/>
        <v>175.68550483914427</v>
      </c>
      <c r="Z67" s="34">
        <f>22936.58/160.33</f>
        <v>143.05856670616853</v>
      </c>
      <c r="AA67" s="1">
        <f t="shared" si="48"/>
        <v>176.4048033125429</v>
      </c>
      <c r="AB67" s="1">
        <f t="shared" si="49"/>
        <v>178.69817519540948</v>
      </c>
      <c r="AC67" s="1">
        <f t="shared" si="17"/>
        <v>180.98124686147321</v>
      </c>
      <c r="AD67" s="1">
        <f t="shared" si="18"/>
        <v>182.14273936456061</v>
      </c>
    </row>
    <row r="68" spans="1:30" x14ac:dyDescent="0.2">
      <c r="A68" s="14" t="s">
        <v>43</v>
      </c>
      <c r="B68" s="17"/>
      <c r="H68" s="21">
        <f>24028.75/160.33</f>
        <v>149.87057942992575</v>
      </c>
      <c r="I68" s="21">
        <v>152.44</v>
      </c>
      <c r="J68" s="21">
        <v>153.13</v>
      </c>
      <c r="K68">
        <v>154.35</v>
      </c>
      <c r="L68" s="23">
        <f t="shared" si="4"/>
        <v>156.23198604440839</v>
      </c>
      <c r="M68" s="27">
        <f t="shared" si="21"/>
        <v>158.51856147477076</v>
      </c>
      <c r="N68" s="27">
        <f t="shared" si="19"/>
        <v>160.31401101634125</v>
      </c>
      <c r="O68" s="27">
        <f t="shared" si="5"/>
        <v>161.10667651094616</v>
      </c>
      <c r="P68" s="27">
        <f t="shared" si="20"/>
        <v>162.59624019990017</v>
      </c>
      <c r="Q68" s="27">
        <f t="shared" si="6"/>
        <v>165.34261856795359</v>
      </c>
      <c r="R68" s="27">
        <f t="shared" si="7"/>
        <v>165.1890012240379</v>
      </c>
      <c r="S68" s="27">
        <f t="shared" si="8"/>
        <v>166.51055999345098</v>
      </c>
      <c r="T68" s="27">
        <f t="shared" si="9"/>
        <v>167.00618199962574</v>
      </c>
      <c r="U68" s="27">
        <f t="shared" si="10"/>
        <v>169.96882361379653</v>
      </c>
      <c r="V68" s="27">
        <f t="shared" si="11"/>
        <v>170.46444561997129</v>
      </c>
      <c r="W68" s="1">
        <f t="shared" si="12"/>
        <v>173.15132536799098</v>
      </c>
      <c r="X68" s="1">
        <f t="shared" si="13"/>
        <v>173.72952606343165</v>
      </c>
      <c r="Y68" s="1">
        <f t="shared" si="14"/>
        <v>184.05111286877064</v>
      </c>
      <c r="Z68" s="34">
        <f>24028.75/160.33</f>
        <v>149.87057942992575</v>
      </c>
      <c r="AA68" s="1">
        <f t="shared" si="48"/>
        <v>184.80466214214431</v>
      </c>
      <c r="AB68" s="1">
        <f t="shared" si="49"/>
        <v>187.20723740098543</v>
      </c>
      <c r="AC68" s="1">
        <f t="shared" si="17"/>
        <v>189.59902197810763</v>
      </c>
      <c r="AD68" s="1">
        <f t="shared" si="18"/>
        <v>190.8158212124992</v>
      </c>
    </row>
    <row r="69" spans="1:30" x14ac:dyDescent="0.2">
      <c r="A69" s="14" t="s">
        <v>44</v>
      </c>
      <c r="B69" s="17"/>
      <c r="H69" s="21">
        <f>24902.5/160.33</f>
        <v>155.32027692883426</v>
      </c>
      <c r="I69" s="21">
        <v>157.97999999999999</v>
      </c>
      <c r="J69" s="21">
        <v>158.69999999999999</v>
      </c>
      <c r="K69">
        <v>159.96</v>
      </c>
      <c r="L69" s="23">
        <f t="shared" si="4"/>
        <v>161.91300140335557</v>
      </c>
      <c r="M69" s="27">
        <f t="shared" si="21"/>
        <v>164.28272286845879</v>
      </c>
      <c r="N69" s="27">
        <f t="shared" si="19"/>
        <v>166.14345978606622</v>
      </c>
      <c r="O69" s="27">
        <f t="shared" si="5"/>
        <v>166.96494873074283</v>
      </c>
      <c r="P69" s="27">
        <f t="shared" si="20"/>
        <v>168.5086769631385</v>
      </c>
      <c r="Q69" s="27">
        <f>H69*1.103236</f>
        <v>171.35492103785941</v>
      </c>
      <c r="R69" s="27">
        <f t="shared" si="7"/>
        <v>171.19571775400735</v>
      </c>
      <c r="S69" s="27">
        <f t="shared" si="8"/>
        <v>172.5653319559658</v>
      </c>
      <c r="T69" s="27">
        <f t="shared" si="9"/>
        <v>173.07897611176946</v>
      </c>
      <c r="U69" s="27">
        <f t="shared" si="10"/>
        <v>176.14934734609864</v>
      </c>
      <c r="V69" s="27">
        <f t="shared" si="11"/>
        <v>176.6629915019023</v>
      </c>
      <c r="W69" s="1">
        <f t="shared" si="12"/>
        <v>179.44757342668242</v>
      </c>
      <c r="X69" s="1">
        <f t="shared" si="13"/>
        <v>180.0467990550739</v>
      </c>
      <c r="Y69" s="1">
        <f t="shared" si="14"/>
        <v>190.74370652716271</v>
      </c>
      <c r="Z69" s="34">
        <f>24902.5/160.33</f>
        <v>155.32027692883426</v>
      </c>
      <c r="AA69" s="1">
        <f t="shared" si="48"/>
        <v>191.52465687956089</v>
      </c>
      <c r="AB69" s="1">
        <f t="shared" si="49"/>
        <v>194.01459623900701</v>
      </c>
      <c r="AC69" s="1">
        <f t="shared" si="17"/>
        <v>196.4933525385143</v>
      </c>
      <c r="AD69" s="1">
        <f t="shared" si="18"/>
        <v>197.7543978668995</v>
      </c>
    </row>
    <row r="70" spans="1:30" x14ac:dyDescent="0.2">
      <c r="A70" s="14" t="s">
        <v>45</v>
      </c>
      <c r="B70" s="17"/>
      <c r="H70" s="21">
        <f>26235.08/160.33</f>
        <v>163.63175949603942</v>
      </c>
      <c r="I70" s="21">
        <v>166.44</v>
      </c>
      <c r="J70" s="21">
        <v>167.19</v>
      </c>
      <c r="K70">
        <v>168.52</v>
      </c>
      <c r="L70" s="23">
        <f t="shared" si="4"/>
        <v>170.57727315960832</v>
      </c>
      <c r="M70" s="27">
        <f t="shared" si="21"/>
        <v>173.07380291423939</v>
      </c>
      <c r="N70" s="27">
        <f t="shared" si="19"/>
        <v>175.03411139300192</v>
      </c>
      <c r="O70" s="27">
        <f t="shared" si="5"/>
        <v>175.8995597689765</v>
      </c>
      <c r="P70" s="27">
        <f t="shared" si="20"/>
        <v>177.52589582660761</v>
      </c>
      <c r="Q70" s="27">
        <f t="shared" ref="Q70:Q87" si="50">H70*1.103236</f>
        <v>180.52444781937257</v>
      </c>
      <c r="R70" s="27">
        <f t="shared" si="7"/>
        <v>180.35672526588911</v>
      </c>
      <c r="S70" s="27">
        <f t="shared" si="8"/>
        <v>181.79963012112518</v>
      </c>
      <c r="T70" s="27">
        <f t="shared" si="9"/>
        <v>182.34076034977858</v>
      </c>
      <c r="U70" s="27">
        <f t="shared" si="10"/>
        <v>185.5754329714963</v>
      </c>
      <c r="V70" s="27">
        <f t="shared" si="11"/>
        <v>186.1165632001497</v>
      </c>
      <c r="W70" s="1">
        <f t="shared" si="12"/>
        <v>189.05015338439466</v>
      </c>
      <c r="X70" s="1">
        <f t="shared" si="13"/>
        <v>189.68144471253041</v>
      </c>
      <c r="Y70" s="1">
        <f t="shared" si="14"/>
        <v>200.95076398902265</v>
      </c>
      <c r="Z70" s="34">
        <f>26235.08/160.33</f>
        <v>163.63175949603942</v>
      </c>
      <c r="AA70" s="1">
        <f t="shared" si="48"/>
        <v>201.77350447576873</v>
      </c>
      <c r="AB70" s="1">
        <f t="shared" si="49"/>
        <v>204.39668521224974</v>
      </c>
      <c r="AC70" s="1">
        <f t="shared" si="17"/>
        <v>207.00808446204704</v>
      </c>
      <c r="AD70" s="1">
        <f t="shared" si="18"/>
        <v>208.33661071739539</v>
      </c>
    </row>
    <row r="71" spans="1:30" x14ac:dyDescent="0.2">
      <c r="A71" s="14" t="s">
        <v>39</v>
      </c>
      <c r="B71" s="17"/>
      <c r="H71" s="21">
        <f>27414.67/160.33</f>
        <v>170.98902264080331</v>
      </c>
      <c r="I71" s="21">
        <v>173.92</v>
      </c>
      <c r="J71" s="21">
        <v>174.71</v>
      </c>
      <c r="K71">
        <v>176.1</v>
      </c>
      <c r="L71" s="23">
        <f t="shared" si="4"/>
        <v>178.24682269581484</v>
      </c>
      <c r="M71" s="27">
        <f t="shared" si="21"/>
        <v>180.85560221424561</v>
      </c>
      <c r="N71" s="27">
        <f t="shared" si="19"/>
        <v>182.9040507054824</v>
      </c>
      <c r="O71" s="27">
        <f t="shared" si="5"/>
        <v>183.80841164622962</v>
      </c>
      <c r="P71" s="27">
        <f t="shared" si="20"/>
        <v>185.50787154225657</v>
      </c>
      <c r="Q71" s="27">
        <f t="shared" si="50"/>
        <v>188.64124538214929</v>
      </c>
      <c r="R71" s="27">
        <f t="shared" si="7"/>
        <v>188.46598163394248</v>
      </c>
      <c r="S71" s="27">
        <f t="shared" si="8"/>
        <v>189.97376283558907</v>
      </c>
      <c r="T71" s="27">
        <f t="shared" si="9"/>
        <v>190.53922353346221</v>
      </c>
      <c r="U71" s="27">
        <f t="shared" si="10"/>
        <v>193.91933453302559</v>
      </c>
      <c r="V71" s="27">
        <f t="shared" si="11"/>
        <v>194.48479523089873</v>
      </c>
      <c r="W71" s="1">
        <f t="shared" si="12"/>
        <v>197.55028642880305</v>
      </c>
      <c r="X71" s="1">
        <f t="shared" si="13"/>
        <v>198.20996207815128</v>
      </c>
      <c r="Y71" s="1">
        <f t="shared" si="14"/>
        <v>209.98597606742339</v>
      </c>
      <c r="Z71" s="34">
        <f>27414.67/160.33</f>
        <v>170.98902264080331</v>
      </c>
      <c r="AA71" s="1">
        <f t="shared" si="48"/>
        <v>210.84570887326137</v>
      </c>
      <c r="AB71" s="1">
        <f t="shared" si="49"/>
        <v>213.58683389521607</v>
      </c>
      <c r="AC71" s="1">
        <f t="shared" si="17"/>
        <v>216.31564770754065</v>
      </c>
      <c r="AD71" s="1">
        <f t="shared" si="18"/>
        <v>217.70390758236135</v>
      </c>
    </row>
    <row r="72" spans="1:30" x14ac:dyDescent="0.2">
      <c r="A72" s="14" t="s">
        <v>40</v>
      </c>
      <c r="B72" s="17"/>
      <c r="H72" s="21">
        <f>28616.06/160.33</f>
        <v>178.48225534834404</v>
      </c>
      <c r="I72" s="21">
        <v>181.54</v>
      </c>
      <c r="J72" s="21">
        <v>182.36</v>
      </c>
      <c r="K72">
        <v>183.82</v>
      </c>
      <c r="L72" s="23">
        <f t="shared" si="4"/>
        <v>186.05811315885984</v>
      </c>
      <c r="M72" s="27">
        <f t="shared" si="21"/>
        <v>188.78121692870954</v>
      </c>
      <c r="N72" s="27">
        <f t="shared" si="19"/>
        <v>190.9194343477827</v>
      </c>
      <c r="O72" s="27">
        <f t="shared" si="5"/>
        <v>191.8634269963201</v>
      </c>
      <c r="P72" s="27">
        <f t="shared" si="20"/>
        <v>193.63736213222728</v>
      </c>
      <c r="Q72" s="27">
        <f t="shared" si="50"/>
        <v>196.90804946148572</v>
      </c>
      <c r="R72" s="27">
        <f t="shared" si="7"/>
        <v>196.72510514975363</v>
      </c>
      <c r="S72" s="27">
        <f t="shared" si="8"/>
        <v>198.29896167741535</v>
      </c>
      <c r="T72" s="27">
        <f t="shared" si="9"/>
        <v>198.88920249585232</v>
      </c>
      <c r="U72" s="27">
        <f t="shared" si="10"/>
        <v>202.41743971957837</v>
      </c>
      <c r="V72" s="27">
        <f t="shared" si="11"/>
        <v>203.00768053801534</v>
      </c>
      <c r="W72" s="1">
        <f t="shared" si="12"/>
        <v>206.20751041190044</v>
      </c>
      <c r="X72" s="1">
        <f t="shared" si="13"/>
        <v>206.89609495303438</v>
      </c>
      <c r="Y72" s="1">
        <f t="shared" si="14"/>
        <v>219.18816787887482</v>
      </c>
      <c r="Z72" s="34">
        <f>28616.06/160.33</f>
        <v>178.48225534834404</v>
      </c>
      <c r="AA72" s="1">
        <f t="shared" si="48"/>
        <v>220.08557665876631</v>
      </c>
      <c r="AB72" s="1">
        <f t="shared" si="49"/>
        <v>222.94682569425558</v>
      </c>
      <c r="AC72" s="1">
        <f t="shared" si="17"/>
        <v>225.79522400735982</v>
      </c>
      <c r="AD72" s="1">
        <f t="shared" si="18"/>
        <v>227.24432143853304</v>
      </c>
    </row>
    <row r="73" spans="1:30" x14ac:dyDescent="0.2">
      <c r="H73" s="21"/>
      <c r="I73" s="21"/>
      <c r="J73" s="21"/>
      <c r="L73" s="23"/>
      <c r="M73" s="27"/>
      <c r="N73" s="27">
        <f t="shared" si="19"/>
        <v>0</v>
      </c>
      <c r="O73" s="27">
        <f t="shared" si="5"/>
        <v>0</v>
      </c>
      <c r="P73" s="27">
        <f t="shared" si="20"/>
        <v>0</v>
      </c>
      <c r="Q73" s="27">
        <f t="shared" si="50"/>
        <v>0</v>
      </c>
      <c r="R73" s="27">
        <f t="shared" si="7"/>
        <v>0</v>
      </c>
      <c r="S73" s="27">
        <f t="shared" si="8"/>
        <v>0</v>
      </c>
      <c r="T73" s="27">
        <f t="shared" si="9"/>
        <v>0</v>
      </c>
      <c r="U73" s="27">
        <f t="shared" si="10"/>
        <v>0</v>
      </c>
      <c r="V73" s="27">
        <f t="shared" si="11"/>
        <v>0</v>
      </c>
      <c r="W73" s="1"/>
      <c r="X73" s="1"/>
      <c r="Y73" s="1"/>
      <c r="Z73" s="34"/>
      <c r="AA73" s="1"/>
      <c r="AC73" s="1"/>
      <c r="AD73" s="1"/>
    </row>
    <row r="74" spans="1:30" ht="15" x14ac:dyDescent="0.2">
      <c r="A74" s="16" t="s">
        <v>62</v>
      </c>
      <c r="H74" s="21"/>
      <c r="I74" s="21"/>
      <c r="J74" s="21"/>
      <c r="L74" s="23"/>
      <c r="M74" s="27"/>
      <c r="N74" s="27">
        <f t="shared" si="19"/>
        <v>0</v>
      </c>
      <c r="O74" s="27">
        <f t="shared" si="5"/>
        <v>0</v>
      </c>
      <c r="P74" s="27">
        <f t="shared" si="20"/>
        <v>0</v>
      </c>
      <c r="Q74" s="27">
        <f t="shared" si="50"/>
        <v>0</v>
      </c>
      <c r="R74" s="27">
        <f t="shared" si="7"/>
        <v>0</v>
      </c>
      <c r="S74" s="27">
        <f t="shared" si="8"/>
        <v>0</v>
      </c>
      <c r="T74" s="27">
        <f t="shared" si="9"/>
        <v>0</v>
      </c>
      <c r="U74" s="27">
        <f t="shared" si="10"/>
        <v>0</v>
      </c>
      <c r="V74" s="27">
        <f t="shared" si="11"/>
        <v>0</v>
      </c>
      <c r="W74" s="1"/>
      <c r="X74" s="1"/>
      <c r="Y74" s="1"/>
      <c r="Z74" s="34"/>
      <c r="AA74" s="1"/>
      <c r="AC74" s="1"/>
      <c r="AD74" s="1"/>
    </row>
    <row r="75" spans="1:30" x14ac:dyDescent="0.2">
      <c r="A75" s="14" t="s">
        <v>63</v>
      </c>
      <c r="H75" s="21"/>
      <c r="I75" s="21"/>
      <c r="J75" s="21"/>
      <c r="L75" s="23"/>
      <c r="M75" s="27"/>
      <c r="N75" s="27">
        <f t="shared" si="19"/>
        <v>0</v>
      </c>
      <c r="O75" s="27">
        <f t="shared" ref="O75:O87" si="51">H75*1.074972</f>
        <v>0</v>
      </c>
      <c r="P75" s="27">
        <f t="shared" si="20"/>
        <v>0</v>
      </c>
      <c r="Q75" s="27">
        <f t="shared" si="50"/>
        <v>0</v>
      </c>
      <c r="R75" s="27">
        <f t="shared" ref="R75:R87" si="52">H75*1.102211</f>
        <v>0</v>
      </c>
      <c r="S75" s="27">
        <f t="shared" ref="S75:S87" si="53">H75*1.111029</f>
        <v>0</v>
      </c>
      <c r="T75" s="27">
        <f t="shared" ref="T75:T87" si="54">H75*1.114336</f>
        <v>0</v>
      </c>
      <c r="U75" s="27">
        <f t="shared" ref="U75:U87" si="55">H75*1.134104</f>
        <v>0</v>
      </c>
      <c r="V75" s="27">
        <f t="shared" ref="V75:V87" si="56">H75*1.137411</f>
        <v>0</v>
      </c>
      <c r="W75" s="1"/>
      <c r="X75" s="1"/>
      <c r="Y75" s="1"/>
      <c r="Z75" s="34"/>
      <c r="AA75" s="1"/>
      <c r="AC75" s="1"/>
      <c r="AD75" s="1"/>
    </row>
    <row r="76" spans="1:30" hidden="1" x14ac:dyDescent="0.2">
      <c r="H76" s="21"/>
      <c r="I76" s="21"/>
      <c r="J76" s="21"/>
      <c r="L76" s="23">
        <f t="shared" si="4"/>
        <v>0</v>
      </c>
      <c r="M76" s="27">
        <f t="shared" si="21"/>
        <v>0</v>
      </c>
      <c r="N76" s="27">
        <f t="shared" ref="N76:N87" si="57">H76*1.069683</f>
        <v>0</v>
      </c>
      <c r="O76" s="27">
        <f t="shared" si="51"/>
        <v>0</v>
      </c>
      <c r="P76" s="27">
        <f t="shared" si="20"/>
        <v>0</v>
      </c>
      <c r="Q76" s="27">
        <f t="shared" si="50"/>
        <v>0</v>
      </c>
      <c r="R76" s="27">
        <f t="shared" si="52"/>
        <v>0</v>
      </c>
      <c r="S76" s="27">
        <f t="shared" si="53"/>
        <v>0</v>
      </c>
      <c r="T76" s="27">
        <f t="shared" si="54"/>
        <v>0</v>
      </c>
      <c r="U76" s="27">
        <f t="shared" si="55"/>
        <v>0</v>
      </c>
      <c r="V76" s="27">
        <f t="shared" si="56"/>
        <v>0</v>
      </c>
      <c r="W76" s="1">
        <f t="shared" ref="W76:W87" si="58">+H76*1.155339</f>
        <v>0</v>
      </c>
      <c r="X76" s="1">
        <f t="shared" ref="X76:X87" si="59">+H76*1.159197</f>
        <v>0</v>
      </c>
      <c r="Y76" s="1">
        <f t="shared" ref="Y76:Y87" si="60">H76*$Y$4</f>
        <v>0</v>
      </c>
      <c r="Z76" s="34"/>
      <c r="AA76" s="1">
        <f>H76*$AA$4</f>
        <v>0</v>
      </c>
      <c r="AC76" s="1">
        <f t="shared" ref="AC74:AC87" si="61">+Z76*$AC$4</f>
        <v>0</v>
      </c>
      <c r="AD76" s="1">
        <f t="shared" ref="AD74:AD87" si="62">+Z76*$AD$4</f>
        <v>0</v>
      </c>
    </row>
    <row r="77" spans="1:30" x14ac:dyDescent="0.2">
      <c r="A77" s="22" t="s">
        <v>67</v>
      </c>
      <c r="B77" s="1"/>
      <c r="H77" s="21">
        <f>245399/1924</f>
        <v>127.54625779625779</v>
      </c>
      <c r="I77" s="21"/>
      <c r="J77" s="21"/>
      <c r="K77">
        <v>131.36000000000001</v>
      </c>
      <c r="L77" s="23">
        <f t="shared" si="4"/>
        <v>132.96008625467775</v>
      </c>
      <c r="M77" s="27">
        <f t="shared" si="21"/>
        <v>134.90605950987526</v>
      </c>
      <c r="N77" s="27">
        <f t="shared" si="57"/>
        <v>136.43406367827441</v>
      </c>
      <c r="O77" s="27">
        <f t="shared" si="51"/>
        <v>137.10865583575884</v>
      </c>
      <c r="P77" s="27">
        <f t="shared" ref="P77:P86" si="63">H77*1.084911</f>
        <v>138.37633809199582</v>
      </c>
      <c r="Q77" s="27">
        <f t="shared" si="50"/>
        <v>140.71362326611228</v>
      </c>
      <c r="R77" s="27">
        <f t="shared" si="52"/>
        <v>140.58288835187111</v>
      </c>
      <c r="S77" s="27">
        <f t="shared" si="53"/>
        <v>141.70759125311849</v>
      </c>
      <c r="T77" s="27">
        <f t="shared" si="54"/>
        <v>142.12938672765071</v>
      </c>
      <c r="U77" s="27">
        <f t="shared" si="55"/>
        <v>144.65072115176716</v>
      </c>
      <c r="V77" s="27">
        <f t="shared" si="56"/>
        <v>145.07251662629938</v>
      </c>
      <c r="W77" s="1">
        <f t="shared" si="58"/>
        <v>147.35916593607067</v>
      </c>
      <c r="X77" s="1">
        <f t="shared" si="59"/>
        <v>147.85123939864866</v>
      </c>
      <c r="Y77" s="1">
        <f t="shared" si="60"/>
        <v>156.63535017307692</v>
      </c>
      <c r="Z77" s="34">
        <f>245399/1924</f>
        <v>127.54625779625779</v>
      </c>
      <c r="AA77" s="1">
        <f t="shared" ref="AA77:AA80" si="64">Z77*$AA$4</f>
        <v>157.27665275727651</v>
      </c>
      <c r="AB77" s="1">
        <f t="shared" ref="AB77:AB80" si="65">Z77*$AB$4</f>
        <v>159.32134681600832</v>
      </c>
      <c r="AC77" s="1">
        <f t="shared" si="61"/>
        <v>161.35685754417878</v>
      </c>
      <c r="AD77" s="1">
        <f t="shared" si="62"/>
        <v>162.39240561122659</v>
      </c>
    </row>
    <row r="78" spans="1:30" x14ac:dyDescent="0.2">
      <c r="A78" s="14" t="s">
        <v>64</v>
      </c>
      <c r="H78" s="21">
        <f>251119/1925</f>
        <v>130.45142857142858</v>
      </c>
      <c r="I78" s="21"/>
      <c r="J78" s="21"/>
      <c r="K78" s="23">
        <v>134.41999999999999</v>
      </c>
      <c r="L78" s="23">
        <f t="shared" si="4"/>
        <v>135.98856990857144</v>
      </c>
      <c r="M78" s="27">
        <f t="shared" si="21"/>
        <v>137.97886735428574</v>
      </c>
      <c r="N78" s="27">
        <f t="shared" si="57"/>
        <v>139.54167546857144</v>
      </c>
      <c r="O78" s="27">
        <f t="shared" si="51"/>
        <v>140.23163307428572</v>
      </c>
      <c r="P78" s="27">
        <f t="shared" si="63"/>
        <v>141.52818982285714</v>
      </c>
      <c r="Q78" s="27">
        <f t="shared" si="50"/>
        <v>143.91871225142859</v>
      </c>
      <c r="R78" s="27">
        <f t="shared" si="52"/>
        <v>143.78499953714288</v>
      </c>
      <c r="S78" s="27">
        <f t="shared" si="53"/>
        <v>144.93532023428574</v>
      </c>
      <c r="T78" s="27">
        <f t="shared" si="54"/>
        <v>145.36672310857145</v>
      </c>
      <c r="U78" s="27">
        <f t="shared" si="55"/>
        <v>147.94548694857144</v>
      </c>
      <c r="V78" s="27">
        <f t="shared" si="56"/>
        <v>148.37688982285715</v>
      </c>
      <c r="W78" s="1">
        <f t="shared" si="58"/>
        <v>150.7156230342857</v>
      </c>
      <c r="X78" s="1">
        <f t="shared" si="59"/>
        <v>151.2189046457143</v>
      </c>
      <c r="Y78" s="1">
        <f t="shared" si="60"/>
        <v>160.20309453142858</v>
      </c>
      <c r="Z78" s="34">
        <f>251119/1925</f>
        <v>130.45142857142858</v>
      </c>
      <c r="AA78" s="1">
        <f t="shared" si="64"/>
        <v>160.85900431428573</v>
      </c>
      <c r="AB78" s="1">
        <f t="shared" si="65"/>
        <v>162.9502711657143</v>
      </c>
      <c r="AC78" s="1">
        <f t="shared" si="61"/>
        <v>165.03214551428573</v>
      </c>
      <c r="AD78" s="1">
        <f t="shared" si="62"/>
        <v>166.09128066285714</v>
      </c>
    </row>
    <row r="79" spans="1:30" x14ac:dyDescent="0.2">
      <c r="A79" s="14" t="s">
        <v>65</v>
      </c>
      <c r="H79" s="21">
        <f>285240/1924</f>
        <v>148.25363825363826</v>
      </c>
      <c r="I79" s="21"/>
      <c r="J79" s="21"/>
      <c r="K79">
        <v>152.68</v>
      </c>
      <c r="L79" s="23">
        <f t="shared" si="4"/>
        <v>154.5464121829522</v>
      </c>
      <c r="M79" s="27">
        <f t="shared" si="21"/>
        <v>156.80831794178795</v>
      </c>
      <c r="N79" s="27">
        <f t="shared" si="57"/>
        <v>158.58439652806652</v>
      </c>
      <c r="O79" s="27">
        <f t="shared" si="51"/>
        <v>159.36851002079004</v>
      </c>
      <c r="P79" s="27">
        <f t="shared" si="63"/>
        <v>160.84200293139293</v>
      </c>
      <c r="Q79" s="27">
        <f t="shared" si="50"/>
        <v>163.55875085239086</v>
      </c>
      <c r="R79" s="27">
        <f t="shared" si="52"/>
        <v>163.40679087318088</v>
      </c>
      <c r="S79" s="27">
        <f t="shared" si="53"/>
        <v>164.71409145530146</v>
      </c>
      <c r="T79" s="27">
        <f t="shared" si="54"/>
        <v>165.20436623700624</v>
      </c>
      <c r="U79" s="27">
        <f t="shared" si="55"/>
        <v>168.13504415800415</v>
      </c>
      <c r="V79" s="27">
        <f t="shared" si="56"/>
        <v>168.62531893970893</v>
      </c>
      <c r="W79" s="1">
        <f t="shared" si="58"/>
        <v>171.28321016632015</v>
      </c>
      <c r="X79" s="1">
        <f t="shared" si="59"/>
        <v>171.8551727027027</v>
      </c>
      <c r="Y79" s="1">
        <f t="shared" si="60"/>
        <v>182.06540076923076</v>
      </c>
      <c r="Z79" s="34">
        <f>285240/1924</f>
        <v>148.25363825363826</v>
      </c>
      <c r="AA79" s="1">
        <f t="shared" si="64"/>
        <v>182.81082006237008</v>
      </c>
      <c r="AB79" s="1">
        <f t="shared" si="65"/>
        <v>185.18747413721414</v>
      </c>
      <c r="AC79" s="1">
        <f t="shared" si="61"/>
        <v>187.55345395010394</v>
      </c>
      <c r="AD79" s="1">
        <f t="shared" si="62"/>
        <v>188.75712523908524</v>
      </c>
    </row>
    <row r="80" spans="1:30" x14ac:dyDescent="0.2">
      <c r="A80" s="14" t="s">
        <v>66</v>
      </c>
      <c r="H80" s="11">
        <f>307417/1924</f>
        <v>159.78014553014552</v>
      </c>
      <c r="K80">
        <v>164.55</v>
      </c>
      <c r="L80" s="23">
        <f t="shared" si="4"/>
        <v>166.56217358731809</v>
      </c>
      <c r="M80" s="27">
        <f t="shared" si="21"/>
        <v>168.99993926767152</v>
      </c>
      <c r="N80" s="27">
        <f t="shared" si="57"/>
        <v>170.91410541112265</v>
      </c>
      <c r="O80" s="27">
        <f t="shared" si="51"/>
        <v>171.75918260083159</v>
      </c>
      <c r="P80" s="27">
        <f t="shared" si="63"/>
        <v>173.3472374672557</v>
      </c>
      <c r="Q80" s="27">
        <f t="shared" si="50"/>
        <v>176.27520863409563</v>
      </c>
      <c r="R80" s="27">
        <f t="shared" si="52"/>
        <v>176.11143398492723</v>
      </c>
      <c r="S80" s="27">
        <f t="shared" si="53"/>
        <v>177.52037530821204</v>
      </c>
      <c r="T80" s="27">
        <f t="shared" si="54"/>
        <v>178.04876824948025</v>
      </c>
      <c r="U80" s="27">
        <f t="shared" si="55"/>
        <v>181.20730216632015</v>
      </c>
      <c r="V80" s="27">
        <f t="shared" si="56"/>
        <v>181.73569510758833</v>
      </c>
      <c r="W80" s="1">
        <f t="shared" si="58"/>
        <v>184.60023355665277</v>
      </c>
      <c r="X80" s="1">
        <f t="shared" si="59"/>
        <v>185.21666535810809</v>
      </c>
      <c r="Y80" s="1">
        <f t="shared" si="60"/>
        <v>196.22072398076921</v>
      </c>
      <c r="Z80" s="34">
        <f>307417/1924</f>
        <v>159.78014553014552</v>
      </c>
      <c r="AA80" s="1">
        <f t="shared" si="64"/>
        <v>197.02409855249479</v>
      </c>
      <c r="AB80" s="1">
        <f t="shared" si="65"/>
        <v>199.58553406548853</v>
      </c>
      <c r="AC80" s="1">
        <f t="shared" si="61"/>
        <v>202.13546540800414</v>
      </c>
      <c r="AD80" s="1">
        <f t="shared" si="62"/>
        <v>203.43272040956339</v>
      </c>
    </row>
    <row r="81" spans="1:30" x14ac:dyDescent="0.2">
      <c r="L81" s="23"/>
      <c r="M81" s="27"/>
      <c r="N81" s="27">
        <f t="shared" si="57"/>
        <v>0</v>
      </c>
      <c r="O81" s="27">
        <f t="shared" si="51"/>
        <v>0</v>
      </c>
      <c r="P81" s="27">
        <f t="shared" si="63"/>
        <v>0</v>
      </c>
      <c r="Q81" s="27">
        <f t="shared" si="50"/>
        <v>0</v>
      </c>
      <c r="R81" s="27">
        <f t="shared" si="52"/>
        <v>0</v>
      </c>
      <c r="S81" s="27">
        <f t="shared" si="53"/>
        <v>0</v>
      </c>
      <c r="T81" s="27">
        <f t="shared" si="54"/>
        <v>0</v>
      </c>
      <c r="U81" s="27">
        <f t="shared" si="55"/>
        <v>0</v>
      </c>
      <c r="V81" s="27">
        <f t="shared" si="56"/>
        <v>0</v>
      </c>
      <c r="W81" s="1"/>
      <c r="X81" s="1"/>
      <c r="Y81" s="1"/>
      <c r="Z81" s="34"/>
      <c r="AA81" s="1"/>
      <c r="AC81" s="1"/>
      <c r="AD81" s="1"/>
    </row>
    <row r="82" spans="1:30" ht="15" x14ac:dyDescent="0.2">
      <c r="A82" s="16" t="s">
        <v>52</v>
      </c>
      <c r="H82" s="21"/>
      <c r="I82" s="21"/>
      <c r="J82" s="21"/>
      <c r="L82" s="23"/>
      <c r="M82" s="27"/>
      <c r="N82" s="27">
        <f t="shared" si="57"/>
        <v>0</v>
      </c>
      <c r="O82" s="27">
        <f t="shared" si="51"/>
        <v>0</v>
      </c>
      <c r="P82" s="27">
        <f t="shared" si="63"/>
        <v>0</v>
      </c>
      <c r="Q82" s="27">
        <f t="shared" si="50"/>
        <v>0</v>
      </c>
      <c r="R82" s="27">
        <f t="shared" si="52"/>
        <v>0</v>
      </c>
      <c r="S82" s="27">
        <f t="shared" si="53"/>
        <v>0</v>
      </c>
      <c r="T82" s="27">
        <f t="shared" si="54"/>
        <v>0</v>
      </c>
      <c r="U82" s="27">
        <f t="shared" si="55"/>
        <v>0</v>
      </c>
      <c r="V82" s="27">
        <f t="shared" si="56"/>
        <v>0</v>
      </c>
      <c r="W82" s="1"/>
      <c r="X82" s="1"/>
      <c r="Y82" s="1"/>
      <c r="Z82" s="34"/>
      <c r="AA82" s="1"/>
      <c r="AC82" s="1"/>
      <c r="AD82" s="1"/>
    </row>
    <row r="83" spans="1:30" x14ac:dyDescent="0.2">
      <c r="A83" s="14" t="s">
        <v>61</v>
      </c>
      <c r="H83" s="21">
        <f>18910.25/160.33</f>
        <v>117.9457992889665</v>
      </c>
      <c r="I83" s="21"/>
      <c r="J83" s="21"/>
      <c r="L83" s="23">
        <f t="shared" si="4"/>
        <v>122.95212668558597</v>
      </c>
      <c r="M83" s="27">
        <f t="shared" si="21"/>
        <v>124.75162574533773</v>
      </c>
      <c r="N83" s="27">
        <f t="shared" si="57"/>
        <v>126.16461642081954</v>
      </c>
      <c r="O83" s="27">
        <f t="shared" si="51"/>
        <v>126.78843175325891</v>
      </c>
      <c r="P83" s="27">
        <f t="shared" si="63"/>
        <v>127.96069505239193</v>
      </c>
      <c r="Q83" s="27">
        <f t="shared" si="50"/>
        <v>130.12205182436225</v>
      </c>
      <c r="R83" s="27">
        <f t="shared" si="52"/>
        <v>130.00115738009106</v>
      </c>
      <c r="S83" s="27">
        <f t="shared" si="53"/>
        <v>131.04120343822117</v>
      </c>
      <c r="T83" s="27">
        <f t="shared" si="54"/>
        <v>131.43125019646976</v>
      </c>
      <c r="U83" s="27">
        <f t="shared" si="55"/>
        <v>133.76280275681407</v>
      </c>
      <c r="V83" s="27">
        <f t="shared" si="56"/>
        <v>134.15284951506266</v>
      </c>
      <c r="W83" s="1">
        <f t="shared" si="58"/>
        <v>136.26738180471526</v>
      </c>
      <c r="X83" s="1">
        <f t="shared" si="59"/>
        <v>136.72241669837211</v>
      </c>
      <c r="Y83" s="1">
        <f t="shared" si="60"/>
        <v>144.84534389540323</v>
      </c>
      <c r="Z83" s="34">
        <f>18910.25/160.33</f>
        <v>117.9457992889665</v>
      </c>
      <c r="AA83" s="1">
        <f t="shared" ref="AA83" si="66">Z83*$AA$4</f>
        <v>145.43837537422814</v>
      </c>
      <c r="AB83" s="1">
        <f t="shared" ref="AB83" si="67">Z83*$AB$4</f>
        <v>147.32916448262955</v>
      </c>
      <c r="AC83" s="1">
        <f t="shared" si="61"/>
        <v>149.21146149348218</v>
      </c>
      <c r="AD83" s="1">
        <f t="shared" si="62"/>
        <v>150.1690634379093</v>
      </c>
    </row>
    <row r="84" spans="1:30" x14ac:dyDescent="0.2">
      <c r="H84" s="21"/>
      <c r="I84" s="21"/>
      <c r="J84" s="21"/>
      <c r="L84" s="23"/>
      <c r="M84" s="27"/>
      <c r="N84" s="27">
        <f t="shared" si="57"/>
        <v>0</v>
      </c>
      <c r="O84" s="27">
        <f t="shared" si="51"/>
        <v>0</v>
      </c>
      <c r="P84" s="27">
        <f t="shared" si="63"/>
        <v>0</v>
      </c>
      <c r="Q84" s="27">
        <f t="shared" si="50"/>
        <v>0</v>
      </c>
      <c r="R84" s="27">
        <f t="shared" si="52"/>
        <v>0</v>
      </c>
      <c r="S84" s="27">
        <f t="shared" si="53"/>
        <v>0</v>
      </c>
      <c r="T84" s="27">
        <f t="shared" si="54"/>
        <v>0</v>
      </c>
      <c r="U84" s="27">
        <f t="shared" si="55"/>
        <v>0</v>
      </c>
      <c r="V84" s="27">
        <f t="shared" si="56"/>
        <v>0</v>
      </c>
      <c r="W84" s="1"/>
      <c r="X84" s="1"/>
      <c r="Y84" s="1"/>
      <c r="Z84" s="34"/>
      <c r="AC84" s="1"/>
      <c r="AD84" s="1"/>
    </row>
    <row r="85" spans="1:30" x14ac:dyDescent="0.2">
      <c r="A85" s="1" t="s">
        <v>59</v>
      </c>
      <c r="B85" s="1"/>
      <c r="H85" s="21">
        <f>94100/1924</f>
        <v>48.908523908523911</v>
      </c>
      <c r="I85" s="21">
        <v>49.74</v>
      </c>
      <c r="J85" s="21">
        <v>49.96</v>
      </c>
      <c r="K85" s="23">
        <f>H85*K3/100+H85</f>
        <v>50.370008419958424</v>
      </c>
      <c r="L85" s="23">
        <f t="shared" ref="L85:L87" si="68">H85*$L$3/100+H85</f>
        <v>50.984495114345115</v>
      </c>
      <c r="M85" s="27">
        <f t="shared" ref="M85:M87" si="69">H85*1.057703</f>
        <v>51.730692463617466</v>
      </c>
      <c r="N85" s="27">
        <f t="shared" si="57"/>
        <v>52.316616580041583</v>
      </c>
      <c r="O85" s="27">
        <f t="shared" si="51"/>
        <v>52.575293762993766</v>
      </c>
      <c r="P85" s="27">
        <f t="shared" si="63"/>
        <v>53.061395582120582</v>
      </c>
      <c r="Q85" s="27">
        <f t="shared" si="50"/>
        <v>53.95764428274429</v>
      </c>
      <c r="R85" s="27">
        <f t="shared" si="52"/>
        <v>53.90751304573805</v>
      </c>
      <c r="S85" s="27">
        <f t="shared" si="53"/>
        <v>54.338788409563413</v>
      </c>
      <c r="T85" s="27">
        <f t="shared" si="54"/>
        <v>54.500528898128898</v>
      </c>
      <c r="U85" s="27">
        <f t="shared" si="55"/>
        <v>55.467352598752605</v>
      </c>
      <c r="V85" s="27">
        <f t="shared" si="56"/>
        <v>55.62909308731809</v>
      </c>
      <c r="W85" s="1">
        <f t="shared" si="58"/>
        <v>56.505925103950105</v>
      </c>
      <c r="X85" s="1">
        <f t="shared" si="59"/>
        <v>56.694614189189195</v>
      </c>
      <c r="Y85" s="1">
        <f t="shared" si="60"/>
        <v>60.062944230769233</v>
      </c>
      <c r="Z85" s="34">
        <f>94100/1924</f>
        <v>48.908523908523911</v>
      </c>
      <c r="AA85" s="1">
        <f t="shared" ref="AA85:AA87" si="70">Z85*$AA$4</f>
        <v>60.308856288981296</v>
      </c>
      <c r="AB85" s="1">
        <f t="shared" ref="AB85:AB87" si="71">Z85*$AB$4</f>
        <v>61.092908835758834</v>
      </c>
      <c r="AC85" s="1">
        <f t="shared" si="61"/>
        <v>61.873439968814971</v>
      </c>
      <c r="AD85" s="1">
        <f t="shared" si="62"/>
        <v>62.27052827442828</v>
      </c>
    </row>
    <row r="86" spans="1:30" x14ac:dyDescent="0.2">
      <c r="A86" t="s">
        <v>58</v>
      </c>
      <c r="H86" s="21">
        <f>102450.73/1924</f>
        <v>53.248820166320165</v>
      </c>
      <c r="I86" s="21">
        <v>54.17</v>
      </c>
      <c r="J86" s="21">
        <v>54.41</v>
      </c>
      <c r="K86" s="23">
        <f>H86*K3/100+H86</f>
        <v>54.840001410530142</v>
      </c>
      <c r="L86" s="23">
        <f t="shared" si="68"/>
        <v>55.509019587099793</v>
      </c>
      <c r="M86" s="27">
        <f t="shared" si="69"/>
        <v>56.321436836377337</v>
      </c>
      <c r="N86" s="27">
        <f t="shared" si="57"/>
        <v>56.95935770196985</v>
      </c>
      <c r="O86" s="27">
        <f t="shared" si="51"/>
        <v>57.240990711829525</v>
      </c>
      <c r="P86" s="27">
        <f t="shared" si="63"/>
        <v>57.770230735462576</v>
      </c>
      <c r="Q86" s="27">
        <f t="shared" si="50"/>
        <v>58.7460153650104</v>
      </c>
      <c r="R86" s="27">
        <f t="shared" si="52"/>
        <v>58.69143532433992</v>
      </c>
      <c r="S86" s="27">
        <f t="shared" si="53"/>
        <v>59.160983420566531</v>
      </c>
      <c r="T86" s="27">
        <f t="shared" si="54"/>
        <v>59.337077268856547</v>
      </c>
      <c r="U86" s="27">
        <f t="shared" si="55"/>
        <v>60.389699945904361</v>
      </c>
      <c r="V86" s="27">
        <f t="shared" si="56"/>
        <v>60.565793794194384</v>
      </c>
      <c r="W86" s="1">
        <f t="shared" si="58"/>
        <v>61.52043864213617</v>
      </c>
      <c r="X86" s="1">
        <f t="shared" si="59"/>
        <v>61.725872590337836</v>
      </c>
      <c r="Y86" s="1">
        <f t="shared" si="60"/>
        <v>65.393118835192311</v>
      </c>
      <c r="Z86" s="34">
        <f>102450.73/1924</f>
        <v>53.248820166320165</v>
      </c>
      <c r="AA86" s="1">
        <f t="shared" si="70"/>
        <v>65.660853902988563</v>
      </c>
      <c r="AB86" s="1">
        <f t="shared" si="71"/>
        <v>66.514485739074843</v>
      </c>
      <c r="AC86" s="1">
        <f t="shared" si="61"/>
        <v>67.364283660109152</v>
      </c>
      <c r="AD86" s="1">
        <f t="shared" si="62"/>
        <v>67.796610831039501</v>
      </c>
    </row>
    <row r="87" spans="1:30" x14ac:dyDescent="0.2">
      <c r="A87" t="s">
        <v>60</v>
      </c>
      <c r="H87" s="26">
        <f>127545/1924</f>
        <v>66.291580041580048</v>
      </c>
      <c r="I87" s="21">
        <v>67.430000000000007</v>
      </c>
      <c r="J87" s="21">
        <v>67.73</v>
      </c>
      <c r="K87" s="23">
        <f>H87*K3/100+H87</f>
        <v>68.27250503638254</v>
      </c>
      <c r="L87" s="23">
        <f t="shared" si="68"/>
        <v>69.105392448024958</v>
      </c>
      <c r="M87" s="27">
        <f t="shared" si="69"/>
        <v>70.116803084719351</v>
      </c>
      <c r="N87" s="27">
        <f t="shared" si="57"/>
        <v>70.91097621361746</v>
      </c>
      <c r="O87" s="27">
        <f t="shared" si="51"/>
        <v>71.261592380457387</v>
      </c>
      <c r="P87" s="27">
        <f>H87*1.084911</f>
        <v>71.920464394490651</v>
      </c>
      <c r="Q87" s="27">
        <f t="shared" si="50"/>
        <v>73.135257598752617</v>
      </c>
      <c r="R87" s="27">
        <f t="shared" si="52"/>
        <v>73.067308729209984</v>
      </c>
      <c r="S87" s="27">
        <f t="shared" si="53"/>
        <v>73.651867882016646</v>
      </c>
      <c r="T87" s="27">
        <f t="shared" si="54"/>
        <v>73.871094137214143</v>
      </c>
      <c r="U87" s="27">
        <f t="shared" si="55"/>
        <v>75.181546091476093</v>
      </c>
      <c r="V87" s="27">
        <f t="shared" si="56"/>
        <v>75.400772346673605</v>
      </c>
      <c r="W87" s="1">
        <f t="shared" si="58"/>
        <v>76.589247793659041</v>
      </c>
      <c r="X87" s="1">
        <f t="shared" si="59"/>
        <v>76.84500070945947</v>
      </c>
      <c r="Y87" s="1">
        <f t="shared" si="60"/>
        <v>81.410501826923081</v>
      </c>
      <c r="Z87" s="34">
        <f>127545/1924</f>
        <v>66.291580041580048</v>
      </c>
      <c r="AA87" s="1">
        <f t="shared" si="70"/>
        <v>81.743815891372151</v>
      </c>
      <c r="AB87" s="1">
        <f t="shared" si="71"/>
        <v>82.80653621101871</v>
      </c>
      <c r="AC87" s="1">
        <f t="shared" si="61"/>
        <v>83.864483536902299</v>
      </c>
      <c r="AD87" s="1">
        <f t="shared" si="62"/>
        <v>84.402704875259886</v>
      </c>
    </row>
    <row r="88" spans="1:30" x14ac:dyDescent="0.2">
      <c r="Q88" s="27"/>
    </row>
    <row r="89" spans="1:30" x14ac:dyDescent="0.2">
      <c r="Q89" s="27"/>
    </row>
    <row r="90" spans="1:30" x14ac:dyDescent="0.2">
      <c r="K90" s="23"/>
    </row>
    <row r="91" spans="1:30" x14ac:dyDescent="0.2">
      <c r="K91" s="23"/>
    </row>
  </sheetData>
  <phoneticPr fontId="0" type="noConversion"/>
  <pageMargins left="0.55000000000000004" right="0.75" top="0.76" bottom="0.52" header="0.19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CA06F8C69E7D4FA410A0123E2C7D78" ma:contentTypeVersion="12" ma:contentTypeDescription="Opret et nyt dokument." ma:contentTypeScope="" ma:versionID="228253e87b9c2846f2855bf86d99a9a1">
  <xsd:schema xmlns:xsd="http://www.w3.org/2001/XMLSchema" xmlns:xs="http://www.w3.org/2001/XMLSchema" xmlns:p="http://schemas.microsoft.com/office/2006/metadata/properties" xmlns:ns3="86176a24-9ba8-4fe2-804a-2a5f05157e73" xmlns:ns4="34d6029c-cb01-46fa-ae04-86f98ce61dce" targetNamespace="http://schemas.microsoft.com/office/2006/metadata/properties" ma:root="true" ma:fieldsID="4d5f0cf2084de1719934782520b8c27b" ns3:_="" ns4:_="">
    <xsd:import namespace="86176a24-9ba8-4fe2-804a-2a5f05157e73"/>
    <xsd:import namespace="34d6029c-cb01-46fa-ae04-86f98ce61dc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76a24-9ba8-4fe2-804a-2a5f05157e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6029c-cb01-46fa-ae04-86f98ce61dc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F72724-F7E9-4E0C-837C-8240CA7940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176a24-9ba8-4fe2-804a-2a5f05157e73"/>
    <ds:schemaRef ds:uri="34d6029c-cb01-46fa-ae04-86f98ce61d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1790F4-2220-4CC7-BA58-BE804CB09B00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34d6029c-cb01-46fa-ae04-86f98ce61d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86176a24-9ba8-4fe2-804a-2a5f05157e7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53A16FC-9A58-4A0E-9B06-13E006F300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edbdb</dc:creator>
  <cp:lastModifiedBy>Marie Madsen-Mygdal</cp:lastModifiedBy>
  <cp:lastPrinted>2021-02-09T06:25:52Z</cp:lastPrinted>
  <dcterms:created xsi:type="dcterms:W3CDTF">2008-06-10T06:18:02Z</dcterms:created>
  <dcterms:modified xsi:type="dcterms:W3CDTF">2026-05-12T09:10:51Z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0x010100C9CA06F8C69E7D4FA410A0123E2C7D78</vt:lpwstr>
  </property>
</Properties>
</file>